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dger\Dropbox\UW - Madison - Projects\milk model\"/>
    </mc:Choice>
  </mc:AlternateContent>
  <xr:revisionPtr revIDLastSave="0" documentId="8_{2096CFE3-2C7F-4060-BCFB-AEAE3C5F9EF6}" xr6:coauthVersionLast="47" xr6:coauthVersionMax="47" xr10:uidLastSave="{00000000-0000-0000-0000-000000000000}"/>
  <bookViews>
    <workbookView xWindow="29145" yWindow="345" windowWidth="23970" windowHeight="11790" activeTab="4" xr2:uid="{6F5A4584-36CA-4E35-812B-8132586F8F24}"/>
  </bookViews>
  <sheets>
    <sheet name="User Input Guide" sheetId="2" r:id="rId1"/>
    <sheet name="Fiber_Ash Inputs" sheetId="3" r:id="rId2"/>
    <sheet name="MILK2024_Imperial" sheetId="1" r:id="rId3"/>
    <sheet name="MILK2024_Metric" sheetId="5" r:id="rId4"/>
    <sheet name="Tech Reference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38" i="5" l="1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1" i="5"/>
  <c r="AK82" i="5"/>
  <c r="AK83" i="5"/>
  <c r="AK84" i="5"/>
  <c r="AK85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99" i="5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8" i="5"/>
  <c r="AK119" i="5"/>
  <c r="AK120" i="5"/>
  <c r="AK121" i="5"/>
  <c r="AK122" i="5"/>
  <c r="AK123" i="5"/>
  <c r="AK124" i="5"/>
  <c r="AK125" i="5"/>
  <c r="AK126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J79" i="5"/>
  <c r="AJ80" i="5"/>
  <c r="AJ81" i="5"/>
  <c r="AJ82" i="5"/>
  <c r="AJ83" i="5"/>
  <c r="AJ84" i="5"/>
  <c r="AJ85" i="5"/>
  <c r="AJ86" i="5"/>
  <c r="AJ87" i="5"/>
  <c r="AJ88" i="5"/>
  <c r="AJ89" i="5"/>
  <c r="AJ90" i="5"/>
  <c r="AJ91" i="5"/>
  <c r="AJ92" i="5"/>
  <c r="AJ93" i="5"/>
  <c r="AJ94" i="5"/>
  <c r="AJ95" i="5"/>
  <c r="AJ96" i="5"/>
  <c r="AJ97" i="5"/>
  <c r="AJ98" i="5"/>
  <c r="AJ99" i="5"/>
  <c r="AJ100" i="5"/>
  <c r="AJ101" i="5"/>
  <c r="AJ102" i="5"/>
  <c r="AJ103" i="5"/>
  <c r="AJ104" i="5"/>
  <c r="AJ105" i="5"/>
  <c r="AJ106" i="5"/>
  <c r="AJ107" i="5"/>
  <c r="AJ108" i="5"/>
  <c r="AJ109" i="5"/>
  <c r="AJ110" i="5"/>
  <c r="AJ111" i="5"/>
  <c r="AJ112" i="5"/>
  <c r="AJ113" i="5"/>
  <c r="AJ114" i="5"/>
  <c r="AJ115" i="5"/>
  <c r="AJ116" i="5"/>
  <c r="AJ117" i="5"/>
  <c r="AJ118" i="5"/>
  <c r="AJ119" i="5"/>
  <c r="AJ120" i="5"/>
  <c r="AJ121" i="5"/>
  <c r="AJ122" i="5"/>
  <c r="AJ123" i="5"/>
  <c r="AJ124" i="5"/>
  <c r="AJ125" i="5"/>
  <c r="AJ126" i="5"/>
  <c r="AK38" i="5"/>
  <c r="AJ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6" i="5"/>
  <c r="X38" i="5"/>
  <c r="W38" i="5"/>
  <c r="U126" i="5" l="1"/>
  <c r="T126" i="5"/>
  <c r="S126" i="5"/>
  <c r="L126" i="5"/>
  <c r="M126" i="5" s="1"/>
  <c r="U125" i="5"/>
  <c r="T125" i="5"/>
  <c r="S125" i="5"/>
  <c r="L125" i="5"/>
  <c r="M125" i="5" s="1"/>
  <c r="K125" i="5"/>
  <c r="U124" i="5"/>
  <c r="T124" i="5"/>
  <c r="S124" i="5"/>
  <c r="L124" i="5"/>
  <c r="M124" i="5" s="1"/>
  <c r="K124" i="5"/>
  <c r="U123" i="5"/>
  <c r="T123" i="5"/>
  <c r="S123" i="5"/>
  <c r="L123" i="5"/>
  <c r="M123" i="5" s="1"/>
  <c r="U122" i="5"/>
  <c r="T122" i="5"/>
  <c r="S122" i="5"/>
  <c r="L122" i="5"/>
  <c r="M122" i="5" s="1"/>
  <c r="U121" i="5"/>
  <c r="T121" i="5"/>
  <c r="S121" i="5"/>
  <c r="L121" i="5"/>
  <c r="M121" i="5" s="1"/>
  <c r="K121" i="5"/>
  <c r="U120" i="5"/>
  <c r="T120" i="5"/>
  <c r="S120" i="5"/>
  <c r="L120" i="5"/>
  <c r="M120" i="5" s="1"/>
  <c r="U119" i="5"/>
  <c r="T119" i="5"/>
  <c r="S119" i="5"/>
  <c r="L119" i="5"/>
  <c r="M119" i="5" s="1"/>
  <c r="U118" i="5"/>
  <c r="T118" i="5"/>
  <c r="S118" i="5"/>
  <c r="L118" i="5"/>
  <c r="M118" i="5" s="1"/>
  <c r="K118" i="5"/>
  <c r="U117" i="5"/>
  <c r="T117" i="5"/>
  <c r="S117" i="5"/>
  <c r="L117" i="5"/>
  <c r="M117" i="5" s="1"/>
  <c r="U116" i="5"/>
  <c r="T116" i="5"/>
  <c r="S116" i="5"/>
  <c r="L116" i="5"/>
  <c r="M116" i="5" s="1"/>
  <c r="U115" i="5"/>
  <c r="T115" i="5"/>
  <c r="S115" i="5"/>
  <c r="L115" i="5"/>
  <c r="M115" i="5" s="1"/>
  <c r="U114" i="5"/>
  <c r="T114" i="5"/>
  <c r="S114" i="5"/>
  <c r="L114" i="5"/>
  <c r="M114" i="5" s="1"/>
  <c r="U113" i="5"/>
  <c r="T113" i="5"/>
  <c r="S113" i="5"/>
  <c r="L113" i="5"/>
  <c r="M113" i="5" s="1"/>
  <c r="U112" i="5"/>
  <c r="T112" i="5"/>
  <c r="S112" i="5"/>
  <c r="L112" i="5"/>
  <c r="M112" i="5" s="1"/>
  <c r="K112" i="5"/>
  <c r="U111" i="5"/>
  <c r="T111" i="5"/>
  <c r="S111" i="5"/>
  <c r="L111" i="5"/>
  <c r="M111" i="5" s="1"/>
  <c r="U110" i="5"/>
  <c r="T110" i="5"/>
  <c r="S110" i="5"/>
  <c r="L110" i="5"/>
  <c r="M110" i="5" s="1"/>
  <c r="U109" i="5"/>
  <c r="T109" i="5"/>
  <c r="S109" i="5"/>
  <c r="L109" i="5"/>
  <c r="M109" i="5" s="1"/>
  <c r="K109" i="5"/>
  <c r="U108" i="5"/>
  <c r="T108" i="5"/>
  <c r="S108" i="5"/>
  <c r="L108" i="5"/>
  <c r="M108" i="5" s="1"/>
  <c r="K108" i="5"/>
  <c r="U107" i="5"/>
  <c r="T107" i="5"/>
  <c r="S107" i="5"/>
  <c r="L107" i="5"/>
  <c r="M107" i="5" s="1"/>
  <c r="U106" i="5"/>
  <c r="T106" i="5"/>
  <c r="S106" i="5"/>
  <c r="L106" i="5"/>
  <c r="M106" i="5" s="1"/>
  <c r="U105" i="5"/>
  <c r="T105" i="5"/>
  <c r="S105" i="5"/>
  <c r="L105" i="5"/>
  <c r="M105" i="5" s="1"/>
  <c r="K105" i="5"/>
  <c r="U104" i="5"/>
  <c r="T104" i="5"/>
  <c r="S104" i="5"/>
  <c r="L104" i="5"/>
  <c r="M104" i="5" s="1"/>
  <c r="U103" i="5"/>
  <c r="T103" i="5"/>
  <c r="S103" i="5"/>
  <c r="L103" i="5"/>
  <c r="M103" i="5" s="1"/>
  <c r="U102" i="5"/>
  <c r="T102" i="5"/>
  <c r="S102" i="5"/>
  <c r="L102" i="5"/>
  <c r="M102" i="5" s="1"/>
  <c r="K102" i="5"/>
  <c r="U101" i="5"/>
  <c r="T101" i="5"/>
  <c r="S101" i="5"/>
  <c r="L101" i="5"/>
  <c r="M101" i="5" s="1"/>
  <c r="U100" i="5"/>
  <c r="T100" i="5"/>
  <c r="S100" i="5"/>
  <c r="L100" i="5"/>
  <c r="M100" i="5" s="1"/>
  <c r="U99" i="5"/>
  <c r="T99" i="5"/>
  <c r="S99" i="5"/>
  <c r="L99" i="5"/>
  <c r="M99" i="5" s="1"/>
  <c r="U98" i="5"/>
  <c r="T98" i="5"/>
  <c r="S98" i="5"/>
  <c r="L98" i="5"/>
  <c r="M98" i="5" s="1"/>
  <c r="U97" i="5"/>
  <c r="T97" i="5"/>
  <c r="S97" i="5"/>
  <c r="L97" i="5"/>
  <c r="M97" i="5" s="1"/>
  <c r="U96" i="5"/>
  <c r="T96" i="5"/>
  <c r="S96" i="5"/>
  <c r="L96" i="5"/>
  <c r="M96" i="5" s="1"/>
  <c r="K96" i="5"/>
  <c r="U95" i="5"/>
  <c r="T95" i="5"/>
  <c r="S95" i="5"/>
  <c r="L95" i="5"/>
  <c r="M95" i="5" s="1"/>
  <c r="U94" i="5"/>
  <c r="T94" i="5"/>
  <c r="S94" i="5"/>
  <c r="L94" i="5"/>
  <c r="M94" i="5" s="1"/>
  <c r="U93" i="5"/>
  <c r="T93" i="5"/>
  <c r="S93" i="5"/>
  <c r="L93" i="5"/>
  <c r="M93" i="5" s="1"/>
  <c r="K93" i="5"/>
  <c r="U92" i="5"/>
  <c r="T92" i="5"/>
  <c r="S92" i="5"/>
  <c r="L92" i="5"/>
  <c r="M92" i="5" s="1"/>
  <c r="K92" i="5"/>
  <c r="U91" i="5"/>
  <c r="T91" i="5"/>
  <c r="S91" i="5"/>
  <c r="L91" i="5"/>
  <c r="M91" i="5" s="1"/>
  <c r="U90" i="5"/>
  <c r="T90" i="5"/>
  <c r="S90" i="5"/>
  <c r="L90" i="5"/>
  <c r="M90" i="5" s="1"/>
  <c r="U89" i="5"/>
  <c r="T89" i="5"/>
  <c r="S89" i="5"/>
  <c r="L89" i="5"/>
  <c r="M89" i="5" s="1"/>
  <c r="K89" i="5"/>
  <c r="U88" i="5"/>
  <c r="T88" i="5"/>
  <c r="S88" i="5"/>
  <c r="L88" i="5"/>
  <c r="M88" i="5" s="1"/>
  <c r="U87" i="5"/>
  <c r="T87" i="5"/>
  <c r="S87" i="5"/>
  <c r="L87" i="5"/>
  <c r="M87" i="5" s="1"/>
  <c r="U86" i="5"/>
  <c r="T86" i="5"/>
  <c r="S86" i="5"/>
  <c r="L86" i="5"/>
  <c r="M86" i="5" s="1"/>
  <c r="K86" i="5"/>
  <c r="U85" i="5"/>
  <c r="T85" i="5"/>
  <c r="S85" i="5"/>
  <c r="L85" i="5"/>
  <c r="M85" i="5" s="1"/>
  <c r="U84" i="5"/>
  <c r="T84" i="5"/>
  <c r="S84" i="5"/>
  <c r="L84" i="5"/>
  <c r="M84" i="5" s="1"/>
  <c r="U83" i="5"/>
  <c r="T83" i="5"/>
  <c r="S83" i="5"/>
  <c r="L83" i="5"/>
  <c r="M83" i="5" s="1"/>
  <c r="U82" i="5"/>
  <c r="T82" i="5"/>
  <c r="S82" i="5"/>
  <c r="L82" i="5"/>
  <c r="M82" i="5" s="1"/>
  <c r="U81" i="5"/>
  <c r="T81" i="5"/>
  <c r="S81" i="5"/>
  <c r="L81" i="5"/>
  <c r="M81" i="5" s="1"/>
  <c r="U80" i="5"/>
  <c r="T80" i="5"/>
  <c r="S80" i="5"/>
  <c r="L80" i="5"/>
  <c r="M80" i="5" s="1"/>
  <c r="K80" i="5"/>
  <c r="U79" i="5"/>
  <c r="T79" i="5"/>
  <c r="S79" i="5"/>
  <c r="L79" i="5"/>
  <c r="M79" i="5" s="1"/>
  <c r="U78" i="5"/>
  <c r="T78" i="5"/>
  <c r="S78" i="5"/>
  <c r="L78" i="5"/>
  <c r="M78" i="5" s="1"/>
  <c r="U77" i="5"/>
  <c r="T77" i="5"/>
  <c r="S77" i="5"/>
  <c r="L77" i="5"/>
  <c r="M77" i="5" s="1"/>
  <c r="K77" i="5"/>
  <c r="U76" i="5"/>
  <c r="T76" i="5"/>
  <c r="S76" i="5"/>
  <c r="L76" i="5"/>
  <c r="M76" i="5" s="1"/>
  <c r="K76" i="5"/>
  <c r="U75" i="5"/>
  <c r="T75" i="5"/>
  <c r="S75" i="5"/>
  <c r="L75" i="5"/>
  <c r="M75" i="5" s="1"/>
  <c r="U74" i="5"/>
  <c r="T74" i="5"/>
  <c r="S74" i="5"/>
  <c r="L74" i="5"/>
  <c r="M74" i="5" s="1"/>
  <c r="U73" i="5"/>
  <c r="T73" i="5"/>
  <c r="S73" i="5"/>
  <c r="L73" i="5"/>
  <c r="M73" i="5" s="1"/>
  <c r="K73" i="5"/>
  <c r="U72" i="5"/>
  <c r="T72" i="5"/>
  <c r="S72" i="5"/>
  <c r="L72" i="5"/>
  <c r="M72" i="5" s="1"/>
  <c r="U71" i="5"/>
  <c r="T71" i="5"/>
  <c r="S71" i="5"/>
  <c r="L71" i="5"/>
  <c r="M71" i="5" s="1"/>
  <c r="U70" i="5"/>
  <c r="T70" i="5"/>
  <c r="S70" i="5"/>
  <c r="L70" i="5"/>
  <c r="M70" i="5" s="1"/>
  <c r="K70" i="5"/>
  <c r="U69" i="5"/>
  <c r="T69" i="5"/>
  <c r="S69" i="5"/>
  <c r="L69" i="5"/>
  <c r="M69" i="5" s="1"/>
  <c r="U68" i="5"/>
  <c r="T68" i="5"/>
  <c r="S68" i="5"/>
  <c r="L68" i="5"/>
  <c r="M68" i="5" s="1"/>
  <c r="U67" i="5"/>
  <c r="T67" i="5"/>
  <c r="S67" i="5"/>
  <c r="L67" i="5"/>
  <c r="M67" i="5" s="1"/>
  <c r="U66" i="5"/>
  <c r="T66" i="5"/>
  <c r="S66" i="5"/>
  <c r="L66" i="5"/>
  <c r="M66" i="5" s="1"/>
  <c r="U65" i="5"/>
  <c r="T65" i="5"/>
  <c r="S65" i="5"/>
  <c r="L65" i="5"/>
  <c r="M65" i="5" s="1"/>
  <c r="U64" i="5"/>
  <c r="T64" i="5"/>
  <c r="S64" i="5"/>
  <c r="L64" i="5"/>
  <c r="M64" i="5" s="1"/>
  <c r="U63" i="5"/>
  <c r="T63" i="5"/>
  <c r="S63" i="5"/>
  <c r="L63" i="5"/>
  <c r="M63" i="5" s="1"/>
  <c r="U62" i="5"/>
  <c r="T62" i="5"/>
  <c r="S62" i="5"/>
  <c r="L62" i="5"/>
  <c r="M62" i="5" s="1"/>
  <c r="U61" i="5"/>
  <c r="T61" i="5"/>
  <c r="S61" i="5"/>
  <c r="L61" i="5"/>
  <c r="M61" i="5" s="1"/>
  <c r="U60" i="5"/>
  <c r="T60" i="5"/>
  <c r="S60" i="5"/>
  <c r="L60" i="5"/>
  <c r="M60" i="5" s="1"/>
  <c r="U59" i="5"/>
  <c r="T59" i="5"/>
  <c r="S59" i="5"/>
  <c r="L59" i="5"/>
  <c r="M59" i="5" s="1"/>
  <c r="U58" i="5"/>
  <c r="T58" i="5"/>
  <c r="S58" i="5"/>
  <c r="L58" i="5"/>
  <c r="M58" i="5" s="1"/>
  <c r="U57" i="5"/>
  <c r="T57" i="5"/>
  <c r="S57" i="5"/>
  <c r="L57" i="5"/>
  <c r="M57" i="5" s="1"/>
  <c r="U56" i="5"/>
  <c r="T56" i="5"/>
  <c r="S56" i="5"/>
  <c r="L56" i="5"/>
  <c r="M56" i="5" s="1"/>
  <c r="U55" i="5"/>
  <c r="T55" i="5"/>
  <c r="S55" i="5"/>
  <c r="L55" i="5"/>
  <c r="M55" i="5" s="1"/>
  <c r="U54" i="5"/>
  <c r="T54" i="5"/>
  <c r="S54" i="5"/>
  <c r="L54" i="5"/>
  <c r="M54" i="5" s="1"/>
  <c r="U53" i="5"/>
  <c r="T53" i="5"/>
  <c r="S53" i="5"/>
  <c r="L53" i="5"/>
  <c r="M53" i="5" s="1"/>
  <c r="U52" i="5"/>
  <c r="T52" i="5"/>
  <c r="S52" i="5"/>
  <c r="L52" i="5"/>
  <c r="M52" i="5" s="1"/>
  <c r="U51" i="5"/>
  <c r="T51" i="5"/>
  <c r="S51" i="5"/>
  <c r="L51" i="5"/>
  <c r="M51" i="5" s="1"/>
  <c r="U50" i="5"/>
  <c r="T50" i="5"/>
  <c r="S50" i="5"/>
  <c r="L50" i="5"/>
  <c r="M50" i="5" s="1"/>
  <c r="U49" i="5"/>
  <c r="T49" i="5"/>
  <c r="S49" i="5"/>
  <c r="L49" i="5"/>
  <c r="M49" i="5" s="1"/>
  <c r="U48" i="5"/>
  <c r="T48" i="5"/>
  <c r="S48" i="5"/>
  <c r="L48" i="5"/>
  <c r="M48" i="5" s="1"/>
  <c r="U47" i="5"/>
  <c r="T47" i="5"/>
  <c r="S47" i="5"/>
  <c r="L47" i="5"/>
  <c r="M47" i="5" s="1"/>
  <c r="U46" i="5"/>
  <c r="T46" i="5"/>
  <c r="S46" i="5"/>
  <c r="L46" i="5"/>
  <c r="M46" i="5" s="1"/>
  <c r="U45" i="5"/>
  <c r="T45" i="5"/>
  <c r="S45" i="5"/>
  <c r="L45" i="5"/>
  <c r="M45" i="5" s="1"/>
  <c r="U44" i="5"/>
  <c r="T44" i="5"/>
  <c r="S44" i="5"/>
  <c r="L44" i="5"/>
  <c r="M44" i="5" s="1"/>
  <c r="U43" i="5"/>
  <c r="T43" i="5"/>
  <c r="S43" i="5"/>
  <c r="L43" i="5"/>
  <c r="M43" i="5" s="1"/>
  <c r="U42" i="5"/>
  <c r="T42" i="5"/>
  <c r="S42" i="5"/>
  <c r="L42" i="5"/>
  <c r="M42" i="5" s="1"/>
  <c r="U41" i="5"/>
  <c r="T41" i="5"/>
  <c r="S41" i="5"/>
  <c r="L41" i="5"/>
  <c r="M41" i="5" s="1"/>
  <c r="U40" i="5"/>
  <c r="T40" i="5"/>
  <c r="S40" i="5"/>
  <c r="L40" i="5"/>
  <c r="M40" i="5" s="1"/>
  <c r="U39" i="5"/>
  <c r="T39" i="5"/>
  <c r="S39" i="5"/>
  <c r="L39" i="5"/>
  <c r="M39" i="5" s="1"/>
  <c r="U38" i="5"/>
  <c r="T38" i="5"/>
  <c r="S38" i="5"/>
  <c r="L38" i="5"/>
  <c r="M38" i="5" s="1"/>
  <c r="K26" i="5"/>
  <c r="K27" i="5" s="1"/>
  <c r="K28" i="5" s="1"/>
  <c r="H22" i="5"/>
  <c r="M18" i="5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Q41" i="3"/>
  <c r="R41" i="3"/>
  <c r="S41" i="3"/>
  <c r="Q42" i="3"/>
  <c r="R42" i="3"/>
  <c r="S42" i="3"/>
  <c r="Q43" i="3"/>
  <c r="R43" i="3"/>
  <c r="S43" i="3"/>
  <c r="Q44" i="3"/>
  <c r="R44" i="3"/>
  <c r="S44" i="3"/>
  <c r="Q45" i="3"/>
  <c r="R45" i="3"/>
  <c r="S45" i="3"/>
  <c r="Q46" i="3"/>
  <c r="R46" i="3"/>
  <c r="S46" i="3"/>
  <c r="Q47" i="3"/>
  <c r="R47" i="3"/>
  <c r="S47" i="3"/>
  <c r="Q48" i="3"/>
  <c r="R48" i="3"/>
  <c r="S48" i="3"/>
  <c r="Q49" i="3"/>
  <c r="R49" i="3"/>
  <c r="S49" i="3"/>
  <c r="Q50" i="3"/>
  <c r="R50" i="3"/>
  <c r="S50" i="3"/>
  <c r="Q51" i="3"/>
  <c r="R51" i="3"/>
  <c r="S51" i="3"/>
  <c r="Q52" i="3"/>
  <c r="R52" i="3"/>
  <c r="S52" i="3"/>
  <c r="Q53" i="3"/>
  <c r="R53" i="3"/>
  <c r="S53" i="3"/>
  <c r="Q54" i="3"/>
  <c r="R54" i="3"/>
  <c r="S54" i="3"/>
  <c r="Q55" i="3"/>
  <c r="R55" i="3"/>
  <c r="S55" i="3"/>
  <c r="Q56" i="3"/>
  <c r="R56" i="3"/>
  <c r="S56" i="3"/>
  <c r="Q57" i="3"/>
  <c r="R57" i="3"/>
  <c r="S57" i="3"/>
  <c r="Q58" i="3"/>
  <c r="R58" i="3"/>
  <c r="S58" i="3"/>
  <c r="Q59" i="3"/>
  <c r="R59" i="3"/>
  <c r="S59" i="3"/>
  <c r="Q60" i="3"/>
  <c r="R60" i="3"/>
  <c r="S60" i="3"/>
  <c r="Q61" i="3"/>
  <c r="R61" i="3"/>
  <c r="S61" i="3"/>
  <c r="Q62" i="3"/>
  <c r="R62" i="3"/>
  <c r="S62" i="3"/>
  <c r="Q63" i="3"/>
  <c r="R63" i="3"/>
  <c r="S63" i="3"/>
  <c r="Q64" i="3"/>
  <c r="R64" i="3"/>
  <c r="S64" i="3"/>
  <c r="Q65" i="3"/>
  <c r="R65" i="3"/>
  <c r="S65" i="3"/>
  <c r="Q66" i="3"/>
  <c r="R66" i="3"/>
  <c r="S66" i="3"/>
  <c r="Q67" i="3"/>
  <c r="R67" i="3"/>
  <c r="S67" i="3"/>
  <c r="Q68" i="3"/>
  <c r="R68" i="3"/>
  <c r="S68" i="3"/>
  <c r="Q69" i="3"/>
  <c r="R69" i="3"/>
  <c r="S69" i="3"/>
  <c r="Q70" i="3"/>
  <c r="R70" i="3"/>
  <c r="S70" i="3"/>
  <c r="Q71" i="3"/>
  <c r="R71" i="3"/>
  <c r="S71" i="3"/>
  <c r="Q72" i="3"/>
  <c r="R72" i="3"/>
  <c r="S72" i="3"/>
  <c r="Q73" i="3"/>
  <c r="R73" i="3"/>
  <c r="S73" i="3"/>
  <c r="Q74" i="3"/>
  <c r="R74" i="3"/>
  <c r="S74" i="3"/>
  <c r="Q75" i="3"/>
  <c r="R75" i="3"/>
  <c r="S75" i="3"/>
  <c r="Q76" i="3"/>
  <c r="R76" i="3"/>
  <c r="S76" i="3"/>
  <c r="Q77" i="3"/>
  <c r="R77" i="3"/>
  <c r="S77" i="3"/>
  <c r="Q78" i="3"/>
  <c r="R78" i="3"/>
  <c r="S78" i="3"/>
  <c r="Q79" i="3"/>
  <c r="R79" i="3"/>
  <c r="S79" i="3"/>
  <c r="Q80" i="3"/>
  <c r="R80" i="3"/>
  <c r="S80" i="3"/>
  <c r="Q81" i="3"/>
  <c r="R81" i="3"/>
  <c r="S81" i="3"/>
  <c r="Q82" i="3"/>
  <c r="R82" i="3"/>
  <c r="S82" i="3"/>
  <c r="Q83" i="3"/>
  <c r="R83" i="3"/>
  <c r="S83" i="3"/>
  <c r="Q84" i="3"/>
  <c r="R84" i="3"/>
  <c r="S84" i="3"/>
  <c r="Q85" i="3"/>
  <c r="R85" i="3"/>
  <c r="S85" i="3"/>
  <c r="Q86" i="3"/>
  <c r="R86" i="3"/>
  <c r="S86" i="3"/>
  <c r="Q87" i="3"/>
  <c r="R87" i="3"/>
  <c r="S87" i="3"/>
  <c r="Q88" i="3"/>
  <c r="R88" i="3"/>
  <c r="S88" i="3"/>
  <c r="Q89" i="3"/>
  <c r="R89" i="3"/>
  <c r="S89" i="3"/>
  <c r="Q90" i="3"/>
  <c r="R90" i="3"/>
  <c r="S90" i="3"/>
  <c r="Q91" i="3"/>
  <c r="R91" i="3"/>
  <c r="S91" i="3"/>
  <c r="Q92" i="3"/>
  <c r="R92" i="3"/>
  <c r="S92" i="3"/>
  <c r="Q93" i="3"/>
  <c r="R93" i="3"/>
  <c r="S93" i="3"/>
  <c r="Q94" i="3"/>
  <c r="R94" i="3"/>
  <c r="S94" i="3"/>
  <c r="Q95" i="3"/>
  <c r="R95" i="3"/>
  <c r="S95" i="3"/>
  <c r="Q96" i="3"/>
  <c r="R96" i="3"/>
  <c r="S96" i="3"/>
  <c r="Q97" i="3"/>
  <c r="R97" i="3"/>
  <c r="S97" i="3"/>
  <c r="Q98" i="3"/>
  <c r="R98" i="3"/>
  <c r="S98" i="3"/>
  <c r="Q99" i="3"/>
  <c r="R99" i="3"/>
  <c r="S99" i="3"/>
  <c r="L39" i="1"/>
  <c r="M39" i="1" s="1"/>
  <c r="S39" i="1"/>
  <c r="T39" i="1"/>
  <c r="U39" i="1"/>
  <c r="L40" i="1"/>
  <c r="M40" i="1" s="1"/>
  <c r="S40" i="1"/>
  <c r="T40" i="1"/>
  <c r="U40" i="1"/>
  <c r="L41" i="1"/>
  <c r="M41" i="1" s="1"/>
  <c r="S41" i="1"/>
  <c r="T41" i="1"/>
  <c r="U41" i="1"/>
  <c r="L42" i="1"/>
  <c r="M42" i="1" s="1"/>
  <c r="S42" i="1"/>
  <c r="T42" i="1"/>
  <c r="U42" i="1"/>
  <c r="L43" i="1"/>
  <c r="M43" i="1" s="1"/>
  <c r="S43" i="1"/>
  <c r="T43" i="1"/>
  <c r="U43" i="1"/>
  <c r="L44" i="1"/>
  <c r="M44" i="1"/>
  <c r="S44" i="1"/>
  <c r="T44" i="1"/>
  <c r="U44" i="1"/>
  <c r="L45" i="1"/>
  <c r="M45" i="1" s="1"/>
  <c r="S45" i="1"/>
  <c r="T45" i="1"/>
  <c r="U45" i="1"/>
  <c r="L46" i="1"/>
  <c r="M46" i="1" s="1"/>
  <c r="S46" i="1"/>
  <c r="T46" i="1"/>
  <c r="U46" i="1"/>
  <c r="L47" i="1"/>
  <c r="M47" i="1" s="1"/>
  <c r="S47" i="1"/>
  <c r="T47" i="1"/>
  <c r="U47" i="1"/>
  <c r="L48" i="1"/>
  <c r="M48" i="1" s="1"/>
  <c r="S48" i="1"/>
  <c r="T48" i="1"/>
  <c r="U48" i="1"/>
  <c r="L49" i="1"/>
  <c r="M49" i="1" s="1"/>
  <c r="S49" i="1"/>
  <c r="T49" i="1"/>
  <c r="U49" i="1"/>
  <c r="L50" i="1"/>
  <c r="M50" i="1" s="1"/>
  <c r="S50" i="1"/>
  <c r="T50" i="1"/>
  <c r="U50" i="1"/>
  <c r="L51" i="1"/>
  <c r="M51" i="1" s="1"/>
  <c r="S51" i="1"/>
  <c r="T51" i="1"/>
  <c r="U51" i="1"/>
  <c r="L52" i="1"/>
  <c r="M52" i="1" s="1"/>
  <c r="S52" i="1"/>
  <c r="T52" i="1"/>
  <c r="U52" i="1"/>
  <c r="L53" i="1"/>
  <c r="M53" i="1" s="1"/>
  <c r="S53" i="1"/>
  <c r="T53" i="1"/>
  <c r="U53" i="1"/>
  <c r="L54" i="1"/>
  <c r="M54" i="1" s="1"/>
  <c r="S54" i="1"/>
  <c r="T54" i="1"/>
  <c r="U54" i="1"/>
  <c r="L55" i="1"/>
  <c r="M55" i="1" s="1"/>
  <c r="S55" i="1"/>
  <c r="T55" i="1"/>
  <c r="U55" i="1"/>
  <c r="L56" i="1"/>
  <c r="M56" i="1" s="1"/>
  <c r="S56" i="1"/>
  <c r="T56" i="1"/>
  <c r="U56" i="1"/>
  <c r="L57" i="1"/>
  <c r="M57" i="1" s="1"/>
  <c r="S57" i="1"/>
  <c r="T57" i="1"/>
  <c r="U57" i="1"/>
  <c r="L58" i="1"/>
  <c r="M58" i="1" s="1"/>
  <c r="S58" i="1"/>
  <c r="T58" i="1"/>
  <c r="U58" i="1"/>
  <c r="L59" i="1"/>
  <c r="M59" i="1" s="1"/>
  <c r="S59" i="1"/>
  <c r="T59" i="1"/>
  <c r="U59" i="1"/>
  <c r="L60" i="1"/>
  <c r="M60" i="1"/>
  <c r="S60" i="1"/>
  <c r="T60" i="1"/>
  <c r="U60" i="1"/>
  <c r="L61" i="1"/>
  <c r="M61" i="1"/>
  <c r="S61" i="1"/>
  <c r="T61" i="1"/>
  <c r="U61" i="1"/>
  <c r="L62" i="1"/>
  <c r="M62" i="1" s="1"/>
  <c r="S62" i="1"/>
  <c r="T62" i="1"/>
  <c r="U62" i="1"/>
  <c r="L63" i="1"/>
  <c r="M63" i="1" s="1"/>
  <c r="S63" i="1"/>
  <c r="T63" i="1"/>
  <c r="U63" i="1"/>
  <c r="L64" i="1"/>
  <c r="M64" i="1" s="1"/>
  <c r="S64" i="1"/>
  <c r="T64" i="1"/>
  <c r="U64" i="1"/>
  <c r="L65" i="1"/>
  <c r="M65" i="1" s="1"/>
  <c r="S65" i="1"/>
  <c r="T65" i="1"/>
  <c r="U65" i="1"/>
  <c r="L66" i="1"/>
  <c r="M66" i="1" s="1"/>
  <c r="S66" i="1"/>
  <c r="T66" i="1"/>
  <c r="U66" i="1"/>
  <c r="L67" i="1"/>
  <c r="M67" i="1" s="1"/>
  <c r="S67" i="1"/>
  <c r="T67" i="1"/>
  <c r="U67" i="1"/>
  <c r="L68" i="1"/>
  <c r="M68" i="1" s="1"/>
  <c r="S68" i="1"/>
  <c r="T68" i="1"/>
  <c r="U68" i="1"/>
  <c r="L69" i="1"/>
  <c r="M69" i="1" s="1"/>
  <c r="S69" i="1"/>
  <c r="T69" i="1"/>
  <c r="U69" i="1"/>
  <c r="L70" i="1"/>
  <c r="M70" i="1" s="1"/>
  <c r="S70" i="1"/>
  <c r="T70" i="1"/>
  <c r="U70" i="1"/>
  <c r="L71" i="1"/>
  <c r="M71" i="1" s="1"/>
  <c r="S71" i="1"/>
  <c r="T71" i="1"/>
  <c r="U71" i="1"/>
  <c r="L72" i="1"/>
  <c r="M72" i="1" s="1"/>
  <c r="S72" i="1"/>
  <c r="T72" i="1"/>
  <c r="U72" i="1"/>
  <c r="L73" i="1"/>
  <c r="M73" i="1" s="1"/>
  <c r="S73" i="1"/>
  <c r="T73" i="1"/>
  <c r="U73" i="1"/>
  <c r="L74" i="1"/>
  <c r="M74" i="1" s="1"/>
  <c r="S74" i="1"/>
  <c r="T74" i="1"/>
  <c r="U74" i="1"/>
  <c r="L75" i="1"/>
  <c r="M75" i="1"/>
  <c r="S75" i="1"/>
  <c r="T75" i="1"/>
  <c r="U75" i="1"/>
  <c r="L76" i="1"/>
  <c r="M76" i="1" s="1"/>
  <c r="S76" i="1"/>
  <c r="T76" i="1"/>
  <c r="U76" i="1"/>
  <c r="L77" i="1"/>
  <c r="M77" i="1" s="1"/>
  <c r="S77" i="1"/>
  <c r="T77" i="1"/>
  <c r="U77" i="1"/>
  <c r="L78" i="1"/>
  <c r="M78" i="1" s="1"/>
  <c r="S78" i="1"/>
  <c r="T78" i="1"/>
  <c r="U78" i="1"/>
  <c r="L79" i="1"/>
  <c r="M79" i="1" s="1"/>
  <c r="S79" i="1"/>
  <c r="T79" i="1"/>
  <c r="U79" i="1"/>
  <c r="L80" i="1"/>
  <c r="M80" i="1" s="1"/>
  <c r="S80" i="1"/>
  <c r="T80" i="1"/>
  <c r="U80" i="1"/>
  <c r="L81" i="1"/>
  <c r="M81" i="1" s="1"/>
  <c r="S81" i="1"/>
  <c r="T81" i="1"/>
  <c r="U81" i="1"/>
  <c r="L82" i="1"/>
  <c r="M82" i="1" s="1"/>
  <c r="S82" i="1"/>
  <c r="T82" i="1"/>
  <c r="U82" i="1"/>
  <c r="L83" i="1"/>
  <c r="M83" i="1" s="1"/>
  <c r="S83" i="1"/>
  <c r="T83" i="1"/>
  <c r="U83" i="1"/>
  <c r="L84" i="1"/>
  <c r="M84" i="1" s="1"/>
  <c r="S84" i="1"/>
  <c r="T84" i="1"/>
  <c r="U84" i="1"/>
  <c r="L85" i="1"/>
  <c r="M85" i="1" s="1"/>
  <c r="S85" i="1"/>
  <c r="T85" i="1"/>
  <c r="U85" i="1"/>
  <c r="L86" i="1"/>
  <c r="M86" i="1" s="1"/>
  <c r="S86" i="1"/>
  <c r="T86" i="1"/>
  <c r="U86" i="1"/>
  <c r="L87" i="1"/>
  <c r="M87" i="1" s="1"/>
  <c r="S87" i="1"/>
  <c r="T87" i="1"/>
  <c r="U87" i="1"/>
  <c r="L88" i="1"/>
  <c r="M88" i="1" s="1"/>
  <c r="S88" i="1"/>
  <c r="T88" i="1"/>
  <c r="U88" i="1"/>
  <c r="L89" i="1"/>
  <c r="M89" i="1" s="1"/>
  <c r="S89" i="1"/>
  <c r="T89" i="1"/>
  <c r="U89" i="1"/>
  <c r="L90" i="1"/>
  <c r="M90" i="1" s="1"/>
  <c r="S90" i="1"/>
  <c r="T90" i="1"/>
  <c r="U90" i="1"/>
  <c r="L91" i="1"/>
  <c r="M91" i="1" s="1"/>
  <c r="S91" i="1"/>
  <c r="T91" i="1"/>
  <c r="U91" i="1"/>
  <c r="L92" i="1"/>
  <c r="M92" i="1" s="1"/>
  <c r="S92" i="1"/>
  <c r="T92" i="1"/>
  <c r="U92" i="1"/>
  <c r="L93" i="1"/>
  <c r="M93" i="1" s="1"/>
  <c r="S93" i="1"/>
  <c r="T93" i="1"/>
  <c r="U93" i="1"/>
  <c r="L94" i="1"/>
  <c r="M94" i="1" s="1"/>
  <c r="S94" i="1"/>
  <c r="T94" i="1"/>
  <c r="U94" i="1"/>
  <c r="L95" i="1"/>
  <c r="M95" i="1" s="1"/>
  <c r="S95" i="1"/>
  <c r="T95" i="1"/>
  <c r="U95" i="1"/>
  <c r="L96" i="1"/>
  <c r="M96" i="1" s="1"/>
  <c r="S96" i="1"/>
  <c r="T96" i="1"/>
  <c r="U96" i="1"/>
  <c r="L97" i="1"/>
  <c r="M97" i="1" s="1"/>
  <c r="S97" i="1"/>
  <c r="T97" i="1"/>
  <c r="U97" i="1"/>
  <c r="L98" i="1"/>
  <c r="M98" i="1" s="1"/>
  <c r="S98" i="1"/>
  <c r="T98" i="1"/>
  <c r="U98" i="1"/>
  <c r="L99" i="1"/>
  <c r="M99" i="1" s="1"/>
  <c r="S99" i="1"/>
  <c r="T99" i="1"/>
  <c r="U99" i="1"/>
  <c r="L100" i="1"/>
  <c r="M100" i="1" s="1"/>
  <c r="S100" i="1"/>
  <c r="T100" i="1"/>
  <c r="U100" i="1"/>
  <c r="L101" i="1"/>
  <c r="M101" i="1" s="1"/>
  <c r="S101" i="1"/>
  <c r="T101" i="1"/>
  <c r="U101" i="1"/>
  <c r="L102" i="1"/>
  <c r="M102" i="1" s="1"/>
  <c r="S102" i="1"/>
  <c r="T102" i="1"/>
  <c r="U102" i="1"/>
  <c r="L103" i="1"/>
  <c r="M103" i="1" s="1"/>
  <c r="S103" i="1"/>
  <c r="T103" i="1"/>
  <c r="U103" i="1"/>
  <c r="L104" i="1"/>
  <c r="M104" i="1" s="1"/>
  <c r="S104" i="1"/>
  <c r="T104" i="1"/>
  <c r="U104" i="1"/>
  <c r="L105" i="1"/>
  <c r="M105" i="1" s="1"/>
  <c r="S105" i="1"/>
  <c r="T105" i="1"/>
  <c r="U105" i="1"/>
  <c r="L106" i="1"/>
  <c r="M106" i="1" s="1"/>
  <c r="S106" i="1"/>
  <c r="T106" i="1"/>
  <c r="U106" i="1"/>
  <c r="L107" i="1"/>
  <c r="M107" i="1" s="1"/>
  <c r="S107" i="1"/>
  <c r="T107" i="1"/>
  <c r="U107" i="1"/>
  <c r="L108" i="1"/>
  <c r="M108" i="1" s="1"/>
  <c r="S108" i="1"/>
  <c r="T108" i="1"/>
  <c r="U108" i="1"/>
  <c r="L109" i="1"/>
  <c r="M109" i="1" s="1"/>
  <c r="S109" i="1"/>
  <c r="T109" i="1"/>
  <c r="U109" i="1"/>
  <c r="L110" i="1"/>
  <c r="M110" i="1" s="1"/>
  <c r="S110" i="1"/>
  <c r="T110" i="1"/>
  <c r="U110" i="1"/>
  <c r="L111" i="1"/>
  <c r="M111" i="1" s="1"/>
  <c r="S111" i="1"/>
  <c r="T111" i="1"/>
  <c r="U111" i="1"/>
  <c r="L112" i="1"/>
  <c r="M112" i="1" s="1"/>
  <c r="S112" i="1"/>
  <c r="T112" i="1"/>
  <c r="U112" i="1"/>
  <c r="L113" i="1"/>
  <c r="M113" i="1" s="1"/>
  <c r="S113" i="1"/>
  <c r="T113" i="1"/>
  <c r="U113" i="1"/>
  <c r="L114" i="1"/>
  <c r="M114" i="1" s="1"/>
  <c r="S114" i="1"/>
  <c r="T114" i="1"/>
  <c r="U114" i="1"/>
  <c r="L115" i="1"/>
  <c r="M115" i="1" s="1"/>
  <c r="S115" i="1"/>
  <c r="T115" i="1"/>
  <c r="U115" i="1"/>
  <c r="L116" i="1"/>
  <c r="M116" i="1" s="1"/>
  <c r="S116" i="1"/>
  <c r="T116" i="1"/>
  <c r="U116" i="1"/>
  <c r="L117" i="1"/>
  <c r="M117" i="1" s="1"/>
  <c r="S117" i="1"/>
  <c r="T117" i="1"/>
  <c r="U117" i="1"/>
  <c r="L118" i="1"/>
  <c r="M118" i="1" s="1"/>
  <c r="S118" i="1"/>
  <c r="T118" i="1"/>
  <c r="U118" i="1"/>
  <c r="L119" i="1"/>
  <c r="M119" i="1" s="1"/>
  <c r="S119" i="1"/>
  <c r="T119" i="1"/>
  <c r="U119" i="1"/>
  <c r="L120" i="1"/>
  <c r="M120" i="1" s="1"/>
  <c r="S120" i="1"/>
  <c r="T120" i="1"/>
  <c r="U120" i="1"/>
  <c r="L121" i="1"/>
  <c r="M121" i="1" s="1"/>
  <c r="S121" i="1"/>
  <c r="T121" i="1"/>
  <c r="U121" i="1"/>
  <c r="L122" i="1"/>
  <c r="M122" i="1" s="1"/>
  <c r="S122" i="1"/>
  <c r="T122" i="1"/>
  <c r="U122" i="1"/>
  <c r="L123" i="1"/>
  <c r="M123" i="1"/>
  <c r="S123" i="1"/>
  <c r="T123" i="1"/>
  <c r="U123" i="1"/>
  <c r="L124" i="1"/>
  <c r="M124" i="1" s="1"/>
  <c r="S124" i="1"/>
  <c r="T124" i="1"/>
  <c r="U124" i="1"/>
  <c r="L125" i="1"/>
  <c r="M125" i="1" s="1"/>
  <c r="S125" i="1"/>
  <c r="T125" i="1"/>
  <c r="U125" i="1"/>
  <c r="L126" i="1"/>
  <c r="M126" i="1" s="1"/>
  <c r="S126" i="1"/>
  <c r="T126" i="1"/>
  <c r="U126" i="1"/>
  <c r="L38" i="1"/>
  <c r="K69" i="1"/>
  <c r="K72" i="1"/>
  <c r="K73" i="1"/>
  <c r="K74" i="1"/>
  <c r="K75" i="1"/>
  <c r="K76" i="1"/>
  <c r="K85" i="1"/>
  <c r="K88" i="1"/>
  <c r="K89" i="1"/>
  <c r="K90" i="1"/>
  <c r="K91" i="1"/>
  <c r="K92" i="1"/>
  <c r="K101" i="1"/>
  <c r="K104" i="1"/>
  <c r="K105" i="1"/>
  <c r="K106" i="1"/>
  <c r="K107" i="1"/>
  <c r="K108" i="1"/>
  <c r="K117" i="1"/>
  <c r="K120" i="1"/>
  <c r="K121" i="1"/>
  <c r="K122" i="1"/>
  <c r="K124" i="1"/>
  <c r="K125" i="1"/>
  <c r="U41" i="3"/>
  <c r="K68" i="1" s="1"/>
  <c r="V41" i="3"/>
  <c r="H68" i="1" s="1"/>
  <c r="W41" i="3"/>
  <c r="I68" i="5" s="1"/>
  <c r="X41" i="3"/>
  <c r="J68" i="1" s="1"/>
  <c r="U42" i="3"/>
  <c r="K69" i="5" s="1"/>
  <c r="V42" i="3"/>
  <c r="H69" i="1" s="1"/>
  <c r="W42" i="3"/>
  <c r="I69" i="1" s="1"/>
  <c r="X42" i="3"/>
  <c r="J69" i="1" s="1"/>
  <c r="U43" i="3"/>
  <c r="K70" i="1" s="1"/>
  <c r="V43" i="3"/>
  <c r="H70" i="1" s="1"/>
  <c r="W43" i="3"/>
  <c r="I70" i="1" s="1"/>
  <c r="X43" i="3"/>
  <c r="J70" i="1" s="1"/>
  <c r="U44" i="3"/>
  <c r="K71" i="1" s="1"/>
  <c r="V44" i="3"/>
  <c r="H71" i="1" s="1"/>
  <c r="W44" i="3"/>
  <c r="I71" i="1" s="1"/>
  <c r="X44" i="3"/>
  <c r="J71" i="1" s="1"/>
  <c r="U45" i="3"/>
  <c r="K72" i="5" s="1"/>
  <c r="V45" i="3"/>
  <c r="H72" i="1" s="1"/>
  <c r="W45" i="3"/>
  <c r="I72" i="1" s="1"/>
  <c r="X45" i="3"/>
  <c r="J72" i="1" s="1"/>
  <c r="U46" i="3"/>
  <c r="V46" i="3"/>
  <c r="H73" i="1" s="1"/>
  <c r="W46" i="3"/>
  <c r="I73" i="1" s="1"/>
  <c r="X46" i="3"/>
  <c r="J73" i="1" s="1"/>
  <c r="U47" i="3"/>
  <c r="K74" i="5" s="1"/>
  <c r="V47" i="3"/>
  <c r="H74" i="1" s="1"/>
  <c r="W47" i="3"/>
  <c r="I74" i="1" s="1"/>
  <c r="X47" i="3"/>
  <c r="J74" i="1" s="1"/>
  <c r="U48" i="3"/>
  <c r="K75" i="5" s="1"/>
  <c r="V48" i="3"/>
  <c r="H75" i="1" s="1"/>
  <c r="W48" i="3"/>
  <c r="I75" i="1" s="1"/>
  <c r="X48" i="3"/>
  <c r="J75" i="1" s="1"/>
  <c r="U49" i="3"/>
  <c r="V49" i="3"/>
  <c r="H76" i="1" s="1"/>
  <c r="W49" i="3"/>
  <c r="I76" i="1" s="1"/>
  <c r="X49" i="3"/>
  <c r="J76" i="1" s="1"/>
  <c r="U50" i="3"/>
  <c r="K77" i="1" s="1"/>
  <c r="V50" i="3"/>
  <c r="H77" i="1" s="1"/>
  <c r="W50" i="3"/>
  <c r="I77" i="1" s="1"/>
  <c r="X50" i="3"/>
  <c r="J77" i="1" s="1"/>
  <c r="U51" i="3"/>
  <c r="K78" i="1" s="1"/>
  <c r="V51" i="3"/>
  <c r="H78" i="1" s="1"/>
  <c r="W51" i="3"/>
  <c r="I78" i="1" s="1"/>
  <c r="X51" i="3"/>
  <c r="J78" i="1" s="1"/>
  <c r="U52" i="3"/>
  <c r="K79" i="5" s="1"/>
  <c r="V52" i="3"/>
  <c r="H79" i="1" s="1"/>
  <c r="W52" i="3"/>
  <c r="I79" i="1" s="1"/>
  <c r="X52" i="3"/>
  <c r="J79" i="1" s="1"/>
  <c r="U53" i="3"/>
  <c r="K80" i="1" s="1"/>
  <c r="V53" i="3"/>
  <c r="H80" i="1" s="1"/>
  <c r="W53" i="3"/>
  <c r="I80" i="1" s="1"/>
  <c r="X53" i="3"/>
  <c r="J80" i="1" s="1"/>
  <c r="U54" i="3"/>
  <c r="K81" i="1" s="1"/>
  <c r="V54" i="3"/>
  <c r="H81" i="1" s="1"/>
  <c r="W54" i="3"/>
  <c r="I81" i="1" s="1"/>
  <c r="X54" i="3"/>
  <c r="J81" i="1" s="1"/>
  <c r="U55" i="3"/>
  <c r="K82" i="5" s="1"/>
  <c r="V55" i="3"/>
  <c r="H82" i="1" s="1"/>
  <c r="W55" i="3"/>
  <c r="I82" i="1" s="1"/>
  <c r="X55" i="3"/>
  <c r="J82" i="1" s="1"/>
  <c r="U56" i="3"/>
  <c r="K83" i="1" s="1"/>
  <c r="V56" i="3"/>
  <c r="H83" i="1" s="1"/>
  <c r="W56" i="3"/>
  <c r="I83" i="5" s="1"/>
  <c r="X56" i="3"/>
  <c r="J83" i="1" s="1"/>
  <c r="U57" i="3"/>
  <c r="K84" i="5" s="1"/>
  <c r="V57" i="3"/>
  <c r="H84" i="1" s="1"/>
  <c r="W57" i="3"/>
  <c r="I84" i="1" s="1"/>
  <c r="X57" i="3"/>
  <c r="J84" i="1" s="1"/>
  <c r="U58" i="3"/>
  <c r="K85" i="5" s="1"/>
  <c r="V58" i="3"/>
  <c r="H85" i="1" s="1"/>
  <c r="W58" i="3"/>
  <c r="I85" i="1" s="1"/>
  <c r="X58" i="3"/>
  <c r="J85" i="1" s="1"/>
  <c r="U59" i="3"/>
  <c r="K86" i="1" s="1"/>
  <c r="V59" i="3"/>
  <c r="H86" i="1" s="1"/>
  <c r="W59" i="3"/>
  <c r="I86" i="1" s="1"/>
  <c r="X59" i="3"/>
  <c r="J86" i="1" s="1"/>
  <c r="U60" i="3"/>
  <c r="K87" i="5" s="1"/>
  <c r="V60" i="3"/>
  <c r="H87" i="1" s="1"/>
  <c r="W60" i="3"/>
  <c r="I87" i="1" s="1"/>
  <c r="X60" i="3"/>
  <c r="J87" i="1" s="1"/>
  <c r="U61" i="3"/>
  <c r="K88" i="5" s="1"/>
  <c r="V61" i="3"/>
  <c r="H88" i="1" s="1"/>
  <c r="W61" i="3"/>
  <c r="I88" i="1" s="1"/>
  <c r="X61" i="3"/>
  <c r="J88" i="1" s="1"/>
  <c r="U62" i="3"/>
  <c r="V62" i="3"/>
  <c r="H89" i="1" s="1"/>
  <c r="W62" i="3"/>
  <c r="I89" i="1" s="1"/>
  <c r="X62" i="3"/>
  <c r="J89" i="1" s="1"/>
  <c r="U63" i="3"/>
  <c r="K90" i="5" s="1"/>
  <c r="V63" i="3"/>
  <c r="H90" i="1" s="1"/>
  <c r="W63" i="3"/>
  <c r="I90" i="1" s="1"/>
  <c r="X63" i="3"/>
  <c r="J90" i="1" s="1"/>
  <c r="U64" i="3"/>
  <c r="K91" i="5" s="1"/>
  <c r="V64" i="3"/>
  <c r="H91" i="1" s="1"/>
  <c r="W64" i="3"/>
  <c r="I91" i="5" s="1"/>
  <c r="X64" i="3"/>
  <c r="J91" i="1" s="1"/>
  <c r="U65" i="3"/>
  <c r="V65" i="3"/>
  <c r="H92" i="1" s="1"/>
  <c r="W65" i="3"/>
  <c r="I92" i="1" s="1"/>
  <c r="X65" i="3"/>
  <c r="J92" i="1" s="1"/>
  <c r="U66" i="3"/>
  <c r="K93" i="1" s="1"/>
  <c r="V66" i="3"/>
  <c r="H93" i="1" s="1"/>
  <c r="W66" i="3"/>
  <c r="I93" i="1" s="1"/>
  <c r="X66" i="3"/>
  <c r="J93" i="1" s="1"/>
  <c r="U67" i="3"/>
  <c r="K94" i="1" s="1"/>
  <c r="V67" i="3"/>
  <c r="H94" i="1" s="1"/>
  <c r="W67" i="3"/>
  <c r="I94" i="1" s="1"/>
  <c r="X67" i="3"/>
  <c r="J94" i="1" s="1"/>
  <c r="U68" i="3"/>
  <c r="K95" i="5" s="1"/>
  <c r="V68" i="3"/>
  <c r="H95" i="1" s="1"/>
  <c r="W68" i="3"/>
  <c r="I95" i="1" s="1"/>
  <c r="X68" i="3"/>
  <c r="J95" i="1" s="1"/>
  <c r="U69" i="3"/>
  <c r="K96" i="1" s="1"/>
  <c r="V69" i="3"/>
  <c r="H96" i="1" s="1"/>
  <c r="W69" i="3"/>
  <c r="I96" i="1" s="1"/>
  <c r="X69" i="3"/>
  <c r="J96" i="1" s="1"/>
  <c r="U70" i="3"/>
  <c r="K97" i="1" s="1"/>
  <c r="V70" i="3"/>
  <c r="H97" i="1" s="1"/>
  <c r="W70" i="3"/>
  <c r="I97" i="1" s="1"/>
  <c r="X70" i="3"/>
  <c r="J97" i="1" s="1"/>
  <c r="U71" i="3"/>
  <c r="K98" i="5" s="1"/>
  <c r="V71" i="3"/>
  <c r="H98" i="1" s="1"/>
  <c r="W71" i="3"/>
  <c r="I98" i="1" s="1"/>
  <c r="X71" i="3"/>
  <c r="J98" i="1" s="1"/>
  <c r="U72" i="3"/>
  <c r="K99" i="5" s="1"/>
  <c r="V72" i="3"/>
  <c r="H99" i="1" s="1"/>
  <c r="W72" i="3"/>
  <c r="I99" i="1" s="1"/>
  <c r="X72" i="3"/>
  <c r="J99" i="1" s="1"/>
  <c r="U73" i="3"/>
  <c r="K100" i="1" s="1"/>
  <c r="V73" i="3"/>
  <c r="H100" i="1" s="1"/>
  <c r="W73" i="3"/>
  <c r="I100" i="1" s="1"/>
  <c r="X73" i="3"/>
  <c r="J100" i="1" s="1"/>
  <c r="U74" i="3"/>
  <c r="K101" i="5" s="1"/>
  <c r="V74" i="3"/>
  <c r="H101" i="1" s="1"/>
  <c r="W74" i="3"/>
  <c r="I101" i="1" s="1"/>
  <c r="X74" i="3"/>
  <c r="J101" i="1" s="1"/>
  <c r="U75" i="3"/>
  <c r="K102" i="1" s="1"/>
  <c r="V75" i="3"/>
  <c r="H102" i="1" s="1"/>
  <c r="W75" i="3"/>
  <c r="I102" i="1" s="1"/>
  <c r="X75" i="3"/>
  <c r="J102" i="1" s="1"/>
  <c r="U76" i="3"/>
  <c r="K103" i="5" s="1"/>
  <c r="V76" i="3"/>
  <c r="H103" i="1" s="1"/>
  <c r="W76" i="3"/>
  <c r="I103" i="5" s="1"/>
  <c r="X76" i="3"/>
  <c r="J103" i="1" s="1"/>
  <c r="U77" i="3"/>
  <c r="K104" i="5" s="1"/>
  <c r="V77" i="3"/>
  <c r="H104" i="1" s="1"/>
  <c r="W77" i="3"/>
  <c r="I104" i="1" s="1"/>
  <c r="X77" i="3"/>
  <c r="J104" i="1" s="1"/>
  <c r="U78" i="3"/>
  <c r="V78" i="3"/>
  <c r="H105" i="1" s="1"/>
  <c r="W78" i="3"/>
  <c r="I105" i="1" s="1"/>
  <c r="X78" i="3"/>
  <c r="J105" i="1" s="1"/>
  <c r="U79" i="3"/>
  <c r="K106" i="5" s="1"/>
  <c r="V79" i="3"/>
  <c r="H106" i="1" s="1"/>
  <c r="W79" i="3"/>
  <c r="I106" i="1" s="1"/>
  <c r="X79" i="3"/>
  <c r="J106" i="1" s="1"/>
  <c r="U80" i="3"/>
  <c r="K107" i="5" s="1"/>
  <c r="V80" i="3"/>
  <c r="H107" i="1" s="1"/>
  <c r="W80" i="3"/>
  <c r="I107" i="5" s="1"/>
  <c r="X80" i="3"/>
  <c r="J107" i="1" s="1"/>
  <c r="U81" i="3"/>
  <c r="V81" i="3"/>
  <c r="H108" i="1" s="1"/>
  <c r="W81" i="3"/>
  <c r="I108" i="1" s="1"/>
  <c r="X81" i="3"/>
  <c r="J108" i="1" s="1"/>
  <c r="U82" i="3"/>
  <c r="K109" i="1" s="1"/>
  <c r="V82" i="3"/>
  <c r="H109" i="1" s="1"/>
  <c r="W82" i="3"/>
  <c r="I109" i="5" s="1"/>
  <c r="X82" i="3"/>
  <c r="J109" i="1" s="1"/>
  <c r="U83" i="3"/>
  <c r="K110" i="1" s="1"/>
  <c r="V83" i="3"/>
  <c r="H110" i="1" s="1"/>
  <c r="W83" i="3"/>
  <c r="I110" i="1" s="1"/>
  <c r="X83" i="3"/>
  <c r="J110" i="1" s="1"/>
  <c r="U84" i="3"/>
  <c r="K111" i="5" s="1"/>
  <c r="V84" i="3"/>
  <c r="H111" i="1" s="1"/>
  <c r="W84" i="3"/>
  <c r="I111" i="1" s="1"/>
  <c r="X84" i="3"/>
  <c r="J111" i="1" s="1"/>
  <c r="U85" i="3"/>
  <c r="K112" i="1" s="1"/>
  <c r="V85" i="3"/>
  <c r="H112" i="1" s="1"/>
  <c r="W85" i="3"/>
  <c r="I112" i="1" s="1"/>
  <c r="X85" i="3"/>
  <c r="J112" i="1" s="1"/>
  <c r="U86" i="3"/>
  <c r="K113" i="1" s="1"/>
  <c r="V86" i="3"/>
  <c r="H113" i="1" s="1"/>
  <c r="W86" i="3"/>
  <c r="I113" i="1" s="1"/>
  <c r="X86" i="3"/>
  <c r="J113" i="1" s="1"/>
  <c r="U87" i="3"/>
  <c r="K114" i="5" s="1"/>
  <c r="V87" i="3"/>
  <c r="H114" i="1" s="1"/>
  <c r="W87" i="3"/>
  <c r="I114" i="1" s="1"/>
  <c r="X87" i="3"/>
  <c r="J114" i="1" s="1"/>
  <c r="U88" i="3"/>
  <c r="K115" i="1" s="1"/>
  <c r="V88" i="3"/>
  <c r="H115" i="1" s="1"/>
  <c r="W88" i="3"/>
  <c r="I115" i="5" s="1"/>
  <c r="X88" i="3"/>
  <c r="J115" i="1" s="1"/>
  <c r="U89" i="3"/>
  <c r="K116" i="5" s="1"/>
  <c r="V89" i="3"/>
  <c r="H116" i="1" s="1"/>
  <c r="W89" i="3"/>
  <c r="I116" i="1" s="1"/>
  <c r="X89" i="3"/>
  <c r="J116" i="1" s="1"/>
  <c r="U90" i="3"/>
  <c r="K117" i="5" s="1"/>
  <c r="V90" i="3"/>
  <c r="H117" i="1" s="1"/>
  <c r="W90" i="3"/>
  <c r="I117" i="1" s="1"/>
  <c r="X90" i="3"/>
  <c r="J117" i="1" s="1"/>
  <c r="U91" i="3"/>
  <c r="K118" i="1" s="1"/>
  <c r="V91" i="3"/>
  <c r="H118" i="1" s="1"/>
  <c r="W91" i="3"/>
  <c r="I118" i="5" s="1"/>
  <c r="X91" i="3"/>
  <c r="J118" i="1" s="1"/>
  <c r="U92" i="3"/>
  <c r="K119" i="5" s="1"/>
  <c r="V92" i="3"/>
  <c r="H119" i="1" s="1"/>
  <c r="W92" i="3"/>
  <c r="I119" i="5" s="1"/>
  <c r="X92" i="3"/>
  <c r="J119" i="1" s="1"/>
  <c r="U93" i="3"/>
  <c r="K120" i="5" s="1"/>
  <c r="V93" i="3"/>
  <c r="H120" i="1" s="1"/>
  <c r="W93" i="3"/>
  <c r="I120" i="5" s="1"/>
  <c r="X93" i="3"/>
  <c r="J120" i="1" s="1"/>
  <c r="U94" i="3"/>
  <c r="V94" i="3"/>
  <c r="H121" i="1" s="1"/>
  <c r="W94" i="3"/>
  <c r="I121" i="1" s="1"/>
  <c r="X94" i="3"/>
  <c r="J121" i="1" s="1"/>
  <c r="U95" i="3"/>
  <c r="K122" i="5" s="1"/>
  <c r="V95" i="3"/>
  <c r="H122" i="1" s="1"/>
  <c r="W95" i="3"/>
  <c r="I122" i="5" s="1"/>
  <c r="X95" i="3"/>
  <c r="J122" i="1" s="1"/>
  <c r="U96" i="3"/>
  <c r="K123" i="5" s="1"/>
  <c r="V96" i="3"/>
  <c r="H123" i="1" s="1"/>
  <c r="W96" i="3"/>
  <c r="I123" i="5" s="1"/>
  <c r="X96" i="3"/>
  <c r="J123" i="1" s="1"/>
  <c r="U97" i="3"/>
  <c r="V97" i="3"/>
  <c r="H124" i="1" s="1"/>
  <c r="W97" i="3"/>
  <c r="I124" i="5" s="1"/>
  <c r="X97" i="3"/>
  <c r="J124" i="1" s="1"/>
  <c r="U98" i="3"/>
  <c r="V98" i="3"/>
  <c r="H125" i="1" s="1"/>
  <c r="W98" i="3"/>
  <c r="I125" i="1" s="1"/>
  <c r="X98" i="3"/>
  <c r="J125" i="1" s="1"/>
  <c r="U99" i="3"/>
  <c r="K126" i="1" s="1"/>
  <c r="V99" i="3"/>
  <c r="H126" i="1" s="1"/>
  <c r="W99" i="3"/>
  <c r="I126" i="1" s="1"/>
  <c r="X99" i="3"/>
  <c r="J126" i="5" s="1"/>
  <c r="K83" i="5" l="1"/>
  <c r="K87" i="1"/>
  <c r="K119" i="1"/>
  <c r="K84" i="1"/>
  <c r="K71" i="5"/>
  <c r="K116" i="1"/>
  <c r="K99" i="1"/>
  <c r="V99" i="1" s="1"/>
  <c r="K68" i="5"/>
  <c r="K100" i="5"/>
  <c r="K115" i="5"/>
  <c r="K103" i="1"/>
  <c r="K98" i="1"/>
  <c r="V98" i="1" s="1"/>
  <c r="K82" i="1"/>
  <c r="V82" i="1" s="1"/>
  <c r="K81" i="5"/>
  <c r="K97" i="5"/>
  <c r="K113" i="5"/>
  <c r="K114" i="1"/>
  <c r="K78" i="5"/>
  <c r="K94" i="5"/>
  <c r="K110" i="5"/>
  <c r="K126" i="5"/>
  <c r="K123" i="1"/>
  <c r="K111" i="1"/>
  <c r="V111" i="1" s="1"/>
  <c r="K95" i="1"/>
  <c r="V95" i="1" s="1"/>
  <c r="K79" i="1"/>
  <c r="V79" i="1" s="1"/>
  <c r="R110" i="1"/>
  <c r="R94" i="1"/>
  <c r="R78" i="1"/>
  <c r="R125" i="1"/>
  <c r="R117" i="1"/>
  <c r="R105" i="1"/>
  <c r="R93" i="1"/>
  <c r="R81" i="1"/>
  <c r="R73" i="1"/>
  <c r="R104" i="1"/>
  <c r="R84" i="1"/>
  <c r="R126" i="1"/>
  <c r="R114" i="1"/>
  <c r="R102" i="1"/>
  <c r="R90" i="1"/>
  <c r="R82" i="1"/>
  <c r="R70" i="1"/>
  <c r="R101" i="1"/>
  <c r="R89" i="1"/>
  <c r="R85" i="1"/>
  <c r="R77" i="1"/>
  <c r="R69" i="1"/>
  <c r="R116" i="1"/>
  <c r="R108" i="1"/>
  <c r="R96" i="1"/>
  <c r="R88" i="1"/>
  <c r="R76" i="1"/>
  <c r="R111" i="1"/>
  <c r="R99" i="1"/>
  <c r="R95" i="1"/>
  <c r="R87" i="1"/>
  <c r="R79" i="1"/>
  <c r="R75" i="1"/>
  <c r="R71" i="1"/>
  <c r="R106" i="1"/>
  <c r="R98" i="1"/>
  <c r="R86" i="1"/>
  <c r="R74" i="1"/>
  <c r="R121" i="1"/>
  <c r="R113" i="1"/>
  <c r="R97" i="1"/>
  <c r="R112" i="1"/>
  <c r="R100" i="1"/>
  <c r="R92" i="1"/>
  <c r="R80" i="1"/>
  <c r="R72" i="1"/>
  <c r="R122" i="5"/>
  <c r="R118" i="5"/>
  <c r="R109" i="5"/>
  <c r="R124" i="5"/>
  <c r="R120" i="5"/>
  <c r="R68" i="5"/>
  <c r="R123" i="5"/>
  <c r="R119" i="5"/>
  <c r="R115" i="5"/>
  <c r="R107" i="5"/>
  <c r="R103" i="5"/>
  <c r="R91" i="5"/>
  <c r="R83" i="5"/>
  <c r="J122" i="5"/>
  <c r="J107" i="5"/>
  <c r="J82" i="5"/>
  <c r="J70" i="5"/>
  <c r="H88" i="5"/>
  <c r="V88" i="5" s="1"/>
  <c r="H119" i="5"/>
  <c r="V119" i="5" s="1"/>
  <c r="H77" i="5"/>
  <c r="J110" i="5"/>
  <c r="J102" i="5"/>
  <c r="J84" i="5"/>
  <c r="J87" i="5"/>
  <c r="J90" i="5"/>
  <c r="H80" i="5"/>
  <c r="V80" i="5" s="1"/>
  <c r="H75" i="5"/>
  <c r="V75" i="5" s="1"/>
  <c r="H108" i="5"/>
  <c r="V108" i="5" s="1"/>
  <c r="H116" i="5"/>
  <c r="V116" i="5" s="1"/>
  <c r="H103" i="5"/>
  <c r="V103" i="5" s="1"/>
  <c r="J105" i="5"/>
  <c r="J85" i="5"/>
  <c r="J117" i="5"/>
  <c r="J97" i="5"/>
  <c r="J125" i="5"/>
  <c r="J77" i="5"/>
  <c r="J112" i="5"/>
  <c r="J115" i="5"/>
  <c r="J72" i="5"/>
  <c r="J75" i="5"/>
  <c r="J92" i="5"/>
  <c r="J95" i="5"/>
  <c r="I71" i="5"/>
  <c r="I107" i="1"/>
  <c r="I120" i="1"/>
  <c r="I119" i="1"/>
  <c r="H95" i="5"/>
  <c r="H123" i="5"/>
  <c r="V123" i="5" s="1"/>
  <c r="H84" i="5"/>
  <c r="H97" i="5"/>
  <c r="H101" i="5"/>
  <c r="V101" i="5" s="1"/>
  <c r="H112" i="5"/>
  <c r="V112" i="5" s="1"/>
  <c r="H125" i="5"/>
  <c r="V125" i="5" s="1"/>
  <c r="H79" i="5"/>
  <c r="H104" i="5"/>
  <c r="V104" i="5" s="1"/>
  <c r="H71" i="5"/>
  <c r="H99" i="5"/>
  <c r="V99" i="5" s="1"/>
  <c r="J93" i="5"/>
  <c r="J118" i="5"/>
  <c r="J68" i="5"/>
  <c r="J73" i="5"/>
  <c r="J78" i="5"/>
  <c r="J83" i="5"/>
  <c r="J103" i="5"/>
  <c r="J113" i="5"/>
  <c r="J88" i="5"/>
  <c r="N88" i="5" s="1"/>
  <c r="J108" i="5"/>
  <c r="J80" i="5"/>
  <c r="J98" i="5"/>
  <c r="J123" i="5"/>
  <c r="J96" i="5"/>
  <c r="J121" i="5"/>
  <c r="J76" i="5"/>
  <c r="J91" i="5"/>
  <c r="J101" i="5"/>
  <c r="J106" i="5"/>
  <c r="J111" i="5"/>
  <c r="J116" i="5"/>
  <c r="J100" i="5"/>
  <c r="J71" i="5"/>
  <c r="J81" i="5"/>
  <c r="J86" i="5"/>
  <c r="J120" i="5"/>
  <c r="J94" i="5"/>
  <c r="J124" i="5"/>
  <c r="J69" i="5"/>
  <c r="J74" i="5"/>
  <c r="J99" i="5"/>
  <c r="J114" i="5"/>
  <c r="J119" i="5"/>
  <c r="J79" i="5"/>
  <c r="J89" i="5"/>
  <c r="J104" i="5"/>
  <c r="J109" i="5"/>
  <c r="I110" i="5"/>
  <c r="I118" i="1"/>
  <c r="I94" i="5"/>
  <c r="I106" i="5"/>
  <c r="I126" i="5"/>
  <c r="I104" i="5"/>
  <c r="I75" i="5"/>
  <c r="I102" i="5"/>
  <c r="I90" i="5"/>
  <c r="I114" i="5"/>
  <c r="I98" i="5"/>
  <c r="I122" i="1"/>
  <c r="H91" i="5"/>
  <c r="H102" i="5"/>
  <c r="H117" i="5"/>
  <c r="V117" i="5" s="1"/>
  <c r="H126" i="5"/>
  <c r="N126" i="5" s="1"/>
  <c r="H78" i="5"/>
  <c r="V78" i="5" s="1"/>
  <c r="H89" i="5"/>
  <c r="V89" i="5" s="1"/>
  <c r="H76" i="5"/>
  <c r="H98" i="5"/>
  <c r="H100" i="5"/>
  <c r="V100" i="5" s="1"/>
  <c r="H115" i="5"/>
  <c r="H124" i="5"/>
  <c r="V124" i="5" s="1"/>
  <c r="H74" i="5"/>
  <c r="V74" i="5" s="1"/>
  <c r="H87" i="5"/>
  <c r="H113" i="5"/>
  <c r="H70" i="5"/>
  <c r="H72" i="5"/>
  <c r="V72" i="5" s="1"/>
  <c r="H96" i="5"/>
  <c r="H122" i="5"/>
  <c r="H90" i="5"/>
  <c r="V90" i="5" s="1"/>
  <c r="H73" i="5"/>
  <c r="V73" i="5" s="1"/>
  <c r="H86" i="5"/>
  <c r="V86" i="5" s="1"/>
  <c r="H69" i="5"/>
  <c r="V69" i="5" s="1"/>
  <c r="H82" i="5"/>
  <c r="H110" i="5"/>
  <c r="V110" i="5" s="1"/>
  <c r="H93" i="5"/>
  <c r="V93" i="5" s="1"/>
  <c r="H106" i="5"/>
  <c r="H83" i="5"/>
  <c r="H85" i="5"/>
  <c r="H94" i="5"/>
  <c r="V94" i="5" s="1"/>
  <c r="H109" i="5"/>
  <c r="H111" i="5"/>
  <c r="H68" i="5"/>
  <c r="H81" i="5"/>
  <c r="H107" i="5"/>
  <c r="V107" i="5" s="1"/>
  <c r="H120" i="5"/>
  <c r="V120" i="5" s="1"/>
  <c r="H114" i="5"/>
  <c r="H121" i="5"/>
  <c r="V121" i="5" s="1"/>
  <c r="H92" i="5"/>
  <c r="V92" i="5" s="1"/>
  <c r="H105" i="5"/>
  <c r="V105" i="5" s="1"/>
  <c r="H118" i="5"/>
  <c r="J126" i="1"/>
  <c r="N126" i="1" s="1"/>
  <c r="O126" i="1" s="1"/>
  <c r="I88" i="5"/>
  <c r="I83" i="1"/>
  <c r="I80" i="5"/>
  <c r="I86" i="5"/>
  <c r="I100" i="5"/>
  <c r="I96" i="5"/>
  <c r="I92" i="5"/>
  <c r="I82" i="5"/>
  <c r="I78" i="5"/>
  <c r="I84" i="5"/>
  <c r="I77" i="5"/>
  <c r="I79" i="5"/>
  <c r="I81" i="5"/>
  <c r="I112" i="5"/>
  <c r="I103" i="1"/>
  <c r="I115" i="1"/>
  <c r="I91" i="1"/>
  <c r="I85" i="5"/>
  <c r="I87" i="5"/>
  <c r="I89" i="5"/>
  <c r="I93" i="5"/>
  <c r="I95" i="5"/>
  <c r="I97" i="5"/>
  <c r="I116" i="5"/>
  <c r="I124" i="1"/>
  <c r="I99" i="5"/>
  <c r="I101" i="5"/>
  <c r="I105" i="5"/>
  <c r="I109" i="1"/>
  <c r="I69" i="5"/>
  <c r="I108" i="5"/>
  <c r="I68" i="1"/>
  <c r="I70" i="5"/>
  <c r="I73" i="5"/>
  <c r="I123" i="1"/>
  <c r="I72" i="5"/>
  <c r="I111" i="5"/>
  <c r="I113" i="5"/>
  <c r="I117" i="5"/>
  <c r="I125" i="5"/>
  <c r="I121" i="5"/>
  <c r="I74" i="5"/>
  <c r="I76" i="5"/>
  <c r="V125" i="1"/>
  <c r="V117" i="1"/>
  <c r="V105" i="1"/>
  <c r="V102" i="1"/>
  <c r="V77" i="5"/>
  <c r="D27" i="5"/>
  <c r="D30" i="5"/>
  <c r="D29" i="5"/>
  <c r="D26" i="5"/>
  <c r="D34" i="5"/>
  <c r="D33" i="5"/>
  <c r="D32" i="5"/>
  <c r="D31" i="5"/>
  <c r="D28" i="5"/>
  <c r="V71" i="1"/>
  <c r="V83" i="1"/>
  <c r="V77" i="1"/>
  <c r="V75" i="1"/>
  <c r="V119" i="1"/>
  <c r="V81" i="1"/>
  <c r="V73" i="1"/>
  <c r="V96" i="1"/>
  <c r="V76" i="1"/>
  <c r="V126" i="1"/>
  <c r="V124" i="1"/>
  <c r="V92" i="1"/>
  <c r="V89" i="1"/>
  <c r="N125" i="1"/>
  <c r="O125" i="1" s="1"/>
  <c r="N123" i="1"/>
  <c r="N121" i="1"/>
  <c r="O121" i="1" s="1"/>
  <c r="N119" i="1"/>
  <c r="N117" i="1"/>
  <c r="O117" i="1" s="1"/>
  <c r="N113" i="1"/>
  <c r="O113" i="1" s="1"/>
  <c r="N111" i="1"/>
  <c r="O111" i="1" s="1"/>
  <c r="N109" i="1"/>
  <c r="N107" i="1"/>
  <c r="N105" i="1"/>
  <c r="O105" i="1" s="1"/>
  <c r="N103" i="1"/>
  <c r="N101" i="1"/>
  <c r="O101" i="1" s="1"/>
  <c r="N97" i="1"/>
  <c r="O97" i="1" s="1"/>
  <c r="N95" i="1"/>
  <c r="O95" i="1" s="1"/>
  <c r="N93" i="1"/>
  <c r="O93" i="1" s="1"/>
  <c r="N91" i="1"/>
  <c r="N89" i="1"/>
  <c r="O89" i="1" s="1"/>
  <c r="N85" i="1"/>
  <c r="O85" i="1" s="1"/>
  <c r="N83" i="1"/>
  <c r="N81" i="1"/>
  <c r="O81" i="1" s="1"/>
  <c r="N79" i="1"/>
  <c r="O79" i="1" s="1"/>
  <c r="N77" i="1"/>
  <c r="O77" i="1" s="1"/>
  <c r="N75" i="1"/>
  <c r="O75" i="1" s="1"/>
  <c r="N73" i="1"/>
  <c r="O73" i="1" s="1"/>
  <c r="N69" i="1"/>
  <c r="O69" i="1" s="1"/>
  <c r="V123" i="1"/>
  <c r="V122" i="1"/>
  <c r="V114" i="1"/>
  <c r="V107" i="1"/>
  <c r="N124" i="1"/>
  <c r="N120" i="1"/>
  <c r="N116" i="1"/>
  <c r="O116" i="1" s="1"/>
  <c r="N112" i="1"/>
  <c r="O112" i="1" s="1"/>
  <c r="N108" i="1"/>
  <c r="O108" i="1" s="1"/>
  <c r="N104" i="1"/>
  <c r="O104" i="1" s="1"/>
  <c r="N100" i="1"/>
  <c r="O100" i="1" s="1"/>
  <c r="N96" i="1"/>
  <c r="O96" i="1" s="1"/>
  <c r="N92" i="1"/>
  <c r="O92" i="1" s="1"/>
  <c r="N88" i="1"/>
  <c r="O88" i="1" s="1"/>
  <c r="N84" i="1"/>
  <c r="O84" i="1" s="1"/>
  <c r="N80" i="1"/>
  <c r="O80" i="1" s="1"/>
  <c r="N76" i="1"/>
  <c r="O76" i="1" s="1"/>
  <c r="N72" i="1"/>
  <c r="O72" i="1" s="1"/>
  <c r="N68" i="1"/>
  <c r="V91" i="1"/>
  <c r="V87" i="1"/>
  <c r="V86" i="1"/>
  <c r="V113" i="1"/>
  <c r="V69" i="1"/>
  <c r="N71" i="1"/>
  <c r="O71" i="1" s="1"/>
  <c r="V74" i="1"/>
  <c r="V84" i="1"/>
  <c r="V78" i="1"/>
  <c r="V101" i="1"/>
  <c r="V93" i="1"/>
  <c r="N115" i="1"/>
  <c r="V120" i="1"/>
  <c r="V104" i="1"/>
  <c r="V97" i="1"/>
  <c r="V100" i="1"/>
  <c r="V121" i="1"/>
  <c r="V85" i="1"/>
  <c r="N99" i="1"/>
  <c r="O99" i="1" s="1"/>
  <c r="N87" i="1"/>
  <c r="O87" i="1" s="1"/>
  <c r="V88" i="1"/>
  <c r="V115" i="1"/>
  <c r="V108" i="1"/>
  <c r="V118" i="1"/>
  <c r="V68" i="1"/>
  <c r="V106" i="1"/>
  <c r="V94" i="1"/>
  <c r="V116" i="1"/>
  <c r="V110" i="1"/>
  <c r="V103" i="1"/>
  <c r="N122" i="1"/>
  <c r="N118" i="1"/>
  <c r="N114" i="1"/>
  <c r="O114" i="1" s="1"/>
  <c r="N110" i="1"/>
  <c r="O110" i="1" s="1"/>
  <c r="N106" i="1"/>
  <c r="O106" i="1" s="1"/>
  <c r="N102" i="1"/>
  <c r="O102" i="1" s="1"/>
  <c r="N98" i="1"/>
  <c r="O98" i="1" s="1"/>
  <c r="N94" i="1"/>
  <c r="O94" i="1" s="1"/>
  <c r="N90" i="1"/>
  <c r="O90" i="1" s="1"/>
  <c r="N86" i="1"/>
  <c r="O86" i="1" s="1"/>
  <c r="N82" i="1"/>
  <c r="O82" i="1" s="1"/>
  <c r="N78" i="1"/>
  <c r="O78" i="1" s="1"/>
  <c r="N74" i="1"/>
  <c r="O74" i="1" s="1"/>
  <c r="N70" i="1"/>
  <c r="O70" i="1" s="1"/>
  <c r="V70" i="1"/>
  <c r="V112" i="1"/>
  <c r="V90" i="1"/>
  <c r="V80" i="1"/>
  <c r="V72" i="1"/>
  <c r="V109" i="1"/>
  <c r="X12" i="3"/>
  <c r="J39" i="5" s="1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J55" i="5" s="1"/>
  <c r="X29" i="3"/>
  <c r="J56" i="5" s="1"/>
  <c r="X30" i="3"/>
  <c r="X31" i="3"/>
  <c r="X32" i="3"/>
  <c r="X33" i="3"/>
  <c r="X34" i="3"/>
  <c r="X35" i="3"/>
  <c r="X36" i="3"/>
  <c r="X37" i="3"/>
  <c r="X38" i="3"/>
  <c r="X39" i="3"/>
  <c r="X40" i="3"/>
  <c r="X11" i="3"/>
  <c r="W12" i="3"/>
  <c r="W13" i="3"/>
  <c r="W14" i="3"/>
  <c r="I41" i="5" s="1"/>
  <c r="W15" i="3"/>
  <c r="I42" i="5" s="1"/>
  <c r="W16" i="3"/>
  <c r="W17" i="3"/>
  <c r="W18" i="3"/>
  <c r="I45" i="5" s="1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I58" i="5" s="1"/>
  <c r="W32" i="3"/>
  <c r="W33" i="3"/>
  <c r="I60" i="5" s="1"/>
  <c r="W34" i="3"/>
  <c r="I61" i="5" s="1"/>
  <c r="W35" i="3"/>
  <c r="W36" i="3"/>
  <c r="W37" i="3"/>
  <c r="W38" i="3"/>
  <c r="W39" i="3"/>
  <c r="W40" i="3"/>
  <c r="W11" i="3"/>
  <c r="I38" i="1" s="1"/>
  <c r="V11" i="3"/>
  <c r="H22" i="1"/>
  <c r="C17" i="3"/>
  <c r="D17" i="3"/>
  <c r="U28" i="3"/>
  <c r="V28" i="3"/>
  <c r="U29" i="3"/>
  <c r="V29" i="3"/>
  <c r="U30" i="3"/>
  <c r="V30" i="3"/>
  <c r="U31" i="3"/>
  <c r="V31" i="3"/>
  <c r="U32" i="3"/>
  <c r="V32" i="3"/>
  <c r="U33" i="3"/>
  <c r="V33" i="3"/>
  <c r="U34" i="3"/>
  <c r="V34" i="3"/>
  <c r="U35" i="3"/>
  <c r="V35" i="3"/>
  <c r="U36" i="3"/>
  <c r="V36" i="3"/>
  <c r="U37" i="3"/>
  <c r="V37" i="3"/>
  <c r="U38" i="3"/>
  <c r="V38" i="3"/>
  <c r="U39" i="3"/>
  <c r="V39" i="3"/>
  <c r="U40" i="3"/>
  <c r="V40" i="3"/>
  <c r="Q28" i="3"/>
  <c r="R28" i="3"/>
  <c r="S28" i="3"/>
  <c r="Q29" i="3"/>
  <c r="R29" i="3"/>
  <c r="S29" i="3"/>
  <c r="Q30" i="3"/>
  <c r="R30" i="3"/>
  <c r="S30" i="3"/>
  <c r="Q31" i="3"/>
  <c r="R31" i="3"/>
  <c r="S31" i="3"/>
  <c r="Q32" i="3"/>
  <c r="R32" i="3"/>
  <c r="S32" i="3"/>
  <c r="Q33" i="3"/>
  <c r="R33" i="3"/>
  <c r="S33" i="3"/>
  <c r="Q34" i="3"/>
  <c r="R34" i="3"/>
  <c r="S34" i="3"/>
  <c r="Q35" i="3"/>
  <c r="R35" i="3"/>
  <c r="S35" i="3"/>
  <c r="Q36" i="3"/>
  <c r="R36" i="3"/>
  <c r="S36" i="3"/>
  <c r="Q37" i="3"/>
  <c r="R37" i="3"/>
  <c r="S37" i="3"/>
  <c r="Q38" i="3"/>
  <c r="R38" i="3"/>
  <c r="S38" i="3"/>
  <c r="Q39" i="3"/>
  <c r="R39" i="3"/>
  <c r="S39" i="3"/>
  <c r="Q40" i="3"/>
  <c r="R40" i="3"/>
  <c r="S40" i="3"/>
  <c r="V27" i="3"/>
  <c r="U27" i="3"/>
  <c r="S27" i="3"/>
  <c r="R27" i="3"/>
  <c r="Q27" i="3"/>
  <c r="V26" i="3"/>
  <c r="U26" i="3"/>
  <c r="S26" i="3"/>
  <c r="R26" i="3"/>
  <c r="Q26" i="3"/>
  <c r="V25" i="3"/>
  <c r="U25" i="3"/>
  <c r="S25" i="3"/>
  <c r="R25" i="3"/>
  <c r="Q25" i="3"/>
  <c r="V24" i="3"/>
  <c r="U24" i="3"/>
  <c r="S24" i="3"/>
  <c r="R24" i="3"/>
  <c r="Q24" i="3"/>
  <c r="V23" i="3"/>
  <c r="U23" i="3"/>
  <c r="S23" i="3"/>
  <c r="R23" i="3"/>
  <c r="Q23" i="3"/>
  <c r="V22" i="3"/>
  <c r="U22" i="3"/>
  <c r="S22" i="3"/>
  <c r="R22" i="3"/>
  <c r="Q22" i="3"/>
  <c r="V21" i="3"/>
  <c r="U21" i="3"/>
  <c r="S21" i="3"/>
  <c r="R21" i="3"/>
  <c r="Q21" i="3"/>
  <c r="V20" i="3"/>
  <c r="U20" i="3"/>
  <c r="S20" i="3"/>
  <c r="R20" i="3"/>
  <c r="Q20" i="3"/>
  <c r="V19" i="3"/>
  <c r="U19" i="3"/>
  <c r="S19" i="3"/>
  <c r="R19" i="3"/>
  <c r="Q19" i="3"/>
  <c r="V18" i="3"/>
  <c r="U18" i="3"/>
  <c r="S18" i="3"/>
  <c r="R18" i="3"/>
  <c r="Q18" i="3"/>
  <c r="V17" i="3"/>
  <c r="U17" i="3"/>
  <c r="S17" i="3"/>
  <c r="R17" i="3"/>
  <c r="Q17" i="3"/>
  <c r="V16" i="3"/>
  <c r="U16" i="3"/>
  <c r="S16" i="3"/>
  <c r="R16" i="3"/>
  <c r="Q16" i="3"/>
  <c r="V15" i="3"/>
  <c r="U15" i="3"/>
  <c r="S15" i="3"/>
  <c r="R15" i="3"/>
  <c r="Q15" i="3"/>
  <c r="V14" i="3"/>
  <c r="U14" i="3"/>
  <c r="S14" i="3"/>
  <c r="R14" i="3"/>
  <c r="Q14" i="3"/>
  <c r="V13" i="3"/>
  <c r="U13" i="3"/>
  <c r="S13" i="3"/>
  <c r="R13" i="3"/>
  <c r="Q13" i="3"/>
  <c r="V12" i="3"/>
  <c r="U12" i="3"/>
  <c r="S12" i="3"/>
  <c r="R12" i="3"/>
  <c r="Q12" i="3"/>
  <c r="U11" i="3"/>
  <c r="S11" i="3"/>
  <c r="R11" i="3"/>
  <c r="Q11" i="3"/>
  <c r="K50" i="1" l="1"/>
  <c r="K50" i="5"/>
  <c r="V97" i="5"/>
  <c r="K41" i="1"/>
  <c r="K41" i="5"/>
  <c r="K48" i="1"/>
  <c r="K48" i="5"/>
  <c r="K63" i="1"/>
  <c r="K63" i="5"/>
  <c r="K55" i="1"/>
  <c r="K55" i="5"/>
  <c r="K40" i="1"/>
  <c r="K40" i="5"/>
  <c r="K67" i="5"/>
  <c r="K67" i="1"/>
  <c r="K47" i="1"/>
  <c r="K47" i="5"/>
  <c r="K65" i="1"/>
  <c r="K65" i="5"/>
  <c r="K57" i="1"/>
  <c r="K57" i="5"/>
  <c r="K45" i="1"/>
  <c r="K45" i="5"/>
  <c r="K46" i="1"/>
  <c r="K46" i="5"/>
  <c r="V113" i="5"/>
  <c r="K58" i="1"/>
  <c r="K58" i="5"/>
  <c r="K44" i="1"/>
  <c r="K44" i="5"/>
  <c r="K54" i="1"/>
  <c r="K54" i="5"/>
  <c r="K56" i="1"/>
  <c r="K56" i="5"/>
  <c r="K42" i="1"/>
  <c r="K42" i="5"/>
  <c r="K62" i="1"/>
  <c r="K62" i="5"/>
  <c r="N102" i="5"/>
  <c r="O102" i="5" s="1"/>
  <c r="K49" i="1"/>
  <c r="K49" i="5"/>
  <c r="K60" i="1"/>
  <c r="K60" i="5"/>
  <c r="K59" i="1"/>
  <c r="K59" i="5"/>
  <c r="K64" i="1"/>
  <c r="K64" i="5"/>
  <c r="K51" i="1"/>
  <c r="K51" i="5"/>
  <c r="K39" i="1"/>
  <c r="K39" i="5"/>
  <c r="V81" i="5"/>
  <c r="K43" i="1"/>
  <c r="K43" i="5"/>
  <c r="K53" i="1"/>
  <c r="K53" i="5"/>
  <c r="K66" i="5"/>
  <c r="K66" i="1"/>
  <c r="K52" i="1"/>
  <c r="K52" i="5"/>
  <c r="K61" i="1"/>
  <c r="K61" i="5"/>
  <c r="V68" i="5"/>
  <c r="P100" i="1"/>
  <c r="Q100" i="1" s="1"/>
  <c r="Z100" i="1" s="1"/>
  <c r="AA100" i="1" s="1"/>
  <c r="P71" i="1"/>
  <c r="Q71" i="1" s="1"/>
  <c r="Z71" i="1" s="1"/>
  <c r="AA71" i="1" s="1"/>
  <c r="P89" i="1"/>
  <c r="Q89" i="1" s="1"/>
  <c r="Z89" i="1" s="1"/>
  <c r="AA89" i="1" s="1"/>
  <c r="P97" i="1"/>
  <c r="Q97" i="1" s="1"/>
  <c r="Z97" i="1" s="1"/>
  <c r="AA97" i="1" s="1"/>
  <c r="P69" i="1"/>
  <c r="Q69" i="1" s="1"/>
  <c r="Z69" i="1" s="1"/>
  <c r="AA69" i="1" s="1"/>
  <c r="P96" i="1"/>
  <c r="Q96" i="1"/>
  <c r="Z96" i="1" s="1"/>
  <c r="AA96" i="1" s="1"/>
  <c r="P104" i="1"/>
  <c r="Q104" i="1" s="1"/>
  <c r="Z104" i="1" s="1"/>
  <c r="AA104" i="1" s="1"/>
  <c r="P85" i="1"/>
  <c r="Q85" i="1" s="1"/>
  <c r="Z85" i="1" s="1"/>
  <c r="AA85" i="1" s="1"/>
  <c r="P70" i="1"/>
  <c r="Q70" i="1" s="1"/>
  <c r="Z70" i="1" s="1"/>
  <c r="AA70" i="1" s="1"/>
  <c r="P82" i="1"/>
  <c r="Q82" i="1"/>
  <c r="Z82" i="1" s="1"/>
  <c r="AA82" i="1" s="1"/>
  <c r="P80" i="1"/>
  <c r="Q80" i="1"/>
  <c r="Z80" i="1" s="1"/>
  <c r="AA80" i="1" s="1"/>
  <c r="P86" i="1"/>
  <c r="Q86" i="1" s="1"/>
  <c r="Z86" i="1" s="1"/>
  <c r="AA86" i="1" s="1"/>
  <c r="P84" i="1"/>
  <c r="Q84" i="1" s="1"/>
  <c r="Z84" i="1" s="1"/>
  <c r="AA84" i="1" s="1"/>
  <c r="P73" i="1"/>
  <c r="Q73" i="1" s="1"/>
  <c r="Z73" i="1" s="1"/>
  <c r="AA73" i="1" s="1"/>
  <c r="P126" i="1"/>
  <c r="Q126" i="1" s="1"/>
  <c r="Z126" i="1" s="1"/>
  <c r="AA126" i="1" s="1"/>
  <c r="P98" i="1"/>
  <c r="Q98" i="1" s="1"/>
  <c r="Z98" i="1" s="1"/>
  <c r="AA98" i="1" s="1"/>
  <c r="P106" i="1"/>
  <c r="Q106" i="1" s="1"/>
  <c r="Z106" i="1" s="1"/>
  <c r="AA106" i="1" s="1"/>
  <c r="P125" i="1"/>
  <c r="Q125" i="1"/>
  <c r="Z125" i="1" s="1"/>
  <c r="AA125" i="1" s="1"/>
  <c r="P90" i="1"/>
  <c r="Q90" i="1" s="1"/>
  <c r="Z90" i="1" s="1"/>
  <c r="AA90" i="1" s="1"/>
  <c r="P88" i="1"/>
  <c r="Q88" i="1" s="1"/>
  <c r="Z88" i="1" s="1"/>
  <c r="AA88" i="1" s="1"/>
  <c r="P75" i="1"/>
  <c r="Q75" i="1"/>
  <c r="Z75" i="1" s="1"/>
  <c r="AA75" i="1" s="1"/>
  <c r="P111" i="1"/>
  <c r="Q111" i="1"/>
  <c r="Z111" i="1" s="1"/>
  <c r="AA111" i="1" s="1"/>
  <c r="P117" i="1"/>
  <c r="Q117" i="1" s="1"/>
  <c r="Z117" i="1" s="1"/>
  <c r="AA117" i="1" s="1"/>
  <c r="P110" i="1"/>
  <c r="Q110" i="1" s="1"/>
  <c r="Z110" i="1" s="1"/>
  <c r="AA110" i="1" s="1"/>
  <c r="P112" i="1"/>
  <c r="Q112" i="1" s="1"/>
  <c r="Z112" i="1" s="1"/>
  <c r="AA112" i="1" s="1"/>
  <c r="P94" i="1"/>
  <c r="Q94" i="1" s="1"/>
  <c r="Z94" i="1" s="1"/>
  <c r="AA94" i="1" s="1"/>
  <c r="P92" i="1"/>
  <c r="Q92" i="1" s="1"/>
  <c r="Z92" i="1" s="1"/>
  <c r="AA92" i="1" s="1"/>
  <c r="P77" i="1"/>
  <c r="Q77" i="1"/>
  <c r="Z77" i="1" s="1"/>
  <c r="AA77" i="1" s="1"/>
  <c r="P79" i="1"/>
  <c r="Q79" i="1"/>
  <c r="Z79" i="1" s="1"/>
  <c r="AA79" i="1" s="1"/>
  <c r="P87" i="1"/>
  <c r="Q87" i="1" s="1"/>
  <c r="Z87" i="1" s="1"/>
  <c r="AA87" i="1" s="1"/>
  <c r="P72" i="1"/>
  <c r="Q72" i="1" s="1"/>
  <c r="Z72" i="1" s="1"/>
  <c r="AA72" i="1" s="1"/>
  <c r="P105" i="1"/>
  <c r="Q105" i="1" s="1"/>
  <c r="Z105" i="1" s="1"/>
  <c r="AA105" i="1" s="1"/>
  <c r="P99" i="1"/>
  <c r="Q99" i="1"/>
  <c r="Z99" i="1" s="1"/>
  <c r="AA99" i="1" s="1"/>
  <c r="R91" i="1"/>
  <c r="O91" i="1"/>
  <c r="R68" i="1"/>
  <c r="O68" i="1"/>
  <c r="P121" i="1"/>
  <c r="Q121" i="1" s="1"/>
  <c r="Z121" i="1" s="1"/>
  <c r="AA121" i="1" s="1"/>
  <c r="R118" i="1"/>
  <c r="O118" i="1"/>
  <c r="P95" i="1"/>
  <c r="Q95" i="1"/>
  <c r="Z95" i="1" s="1"/>
  <c r="AA95" i="1" s="1"/>
  <c r="R119" i="1"/>
  <c r="O119" i="1"/>
  <c r="R122" i="1"/>
  <c r="O122" i="1"/>
  <c r="P76" i="1"/>
  <c r="Q76" i="1"/>
  <c r="Z76" i="1" s="1"/>
  <c r="AA76" i="1" s="1"/>
  <c r="P113" i="1"/>
  <c r="Q113" i="1" s="1"/>
  <c r="Z113" i="1" s="1"/>
  <c r="AA113" i="1" s="1"/>
  <c r="P81" i="1"/>
  <c r="Q81" i="1" s="1"/>
  <c r="Z81" i="1" s="1"/>
  <c r="AA81" i="1" s="1"/>
  <c r="P93" i="1"/>
  <c r="Q93" i="1" s="1"/>
  <c r="Z93" i="1" s="1"/>
  <c r="AA93" i="1" s="1"/>
  <c r="P102" i="1"/>
  <c r="Q102" i="1" s="1"/>
  <c r="Z102" i="1" s="1"/>
  <c r="AA102" i="1" s="1"/>
  <c r="R107" i="1"/>
  <c r="O107" i="1"/>
  <c r="R123" i="1"/>
  <c r="O123" i="1"/>
  <c r="P108" i="1"/>
  <c r="Q108" i="1"/>
  <c r="Z108" i="1" s="1"/>
  <c r="AA108" i="1" s="1"/>
  <c r="R115" i="1"/>
  <c r="O115" i="1"/>
  <c r="R103" i="1"/>
  <c r="O103" i="1"/>
  <c r="P116" i="1"/>
  <c r="Q116" i="1" s="1"/>
  <c r="Z116" i="1" s="1"/>
  <c r="AA116" i="1" s="1"/>
  <c r="R109" i="1"/>
  <c r="O109" i="1"/>
  <c r="P74" i="1"/>
  <c r="Q74" i="1" s="1"/>
  <c r="Z74" i="1" s="1"/>
  <c r="AA74" i="1" s="1"/>
  <c r="P114" i="1"/>
  <c r="Q114" i="1"/>
  <c r="Z114" i="1" s="1"/>
  <c r="AA114" i="1" s="1"/>
  <c r="R120" i="1"/>
  <c r="O120" i="1"/>
  <c r="R124" i="1"/>
  <c r="O124" i="1"/>
  <c r="P78" i="1"/>
  <c r="Q78" i="1"/>
  <c r="Z78" i="1" s="1"/>
  <c r="AA78" i="1" s="1"/>
  <c r="P101" i="1"/>
  <c r="Q101" i="1" s="1"/>
  <c r="Z101" i="1" s="1"/>
  <c r="AA101" i="1" s="1"/>
  <c r="R83" i="1"/>
  <c r="O83" i="1"/>
  <c r="R45" i="5"/>
  <c r="R126" i="5"/>
  <c r="O126" i="5"/>
  <c r="R60" i="5"/>
  <c r="R108" i="5"/>
  <c r="R69" i="5"/>
  <c r="R112" i="5"/>
  <c r="R42" i="5"/>
  <c r="R76" i="5"/>
  <c r="R99" i="5"/>
  <c r="R84" i="5"/>
  <c r="R121" i="5"/>
  <c r="R78" i="5"/>
  <c r="N122" i="5"/>
  <c r="O122" i="5" s="1"/>
  <c r="R125" i="5"/>
  <c r="R82" i="5"/>
  <c r="R71" i="5"/>
  <c r="R117" i="5"/>
  <c r="R97" i="5"/>
  <c r="N119" i="5"/>
  <c r="O119" i="5" s="1"/>
  <c r="R113" i="5"/>
  <c r="R95" i="5"/>
  <c r="R96" i="5"/>
  <c r="N70" i="5"/>
  <c r="O70" i="5" s="1"/>
  <c r="R98" i="5"/>
  <c r="R111" i="5"/>
  <c r="R93" i="5"/>
  <c r="R100" i="5"/>
  <c r="R114" i="5"/>
  <c r="R81" i="5"/>
  <c r="R110" i="5"/>
  <c r="R101" i="5"/>
  <c r="R77" i="5"/>
  <c r="R74" i="5"/>
  <c r="R116" i="5"/>
  <c r="R72" i="5"/>
  <c r="R89" i="5"/>
  <c r="R86" i="5"/>
  <c r="R90" i="5"/>
  <c r="R80" i="5"/>
  <c r="R102" i="5"/>
  <c r="R73" i="5"/>
  <c r="R85" i="5"/>
  <c r="R75" i="5"/>
  <c r="R61" i="5"/>
  <c r="R106" i="5"/>
  <c r="R94" i="5"/>
  <c r="R58" i="5"/>
  <c r="R41" i="5"/>
  <c r="R105" i="5"/>
  <c r="R79" i="5"/>
  <c r="R92" i="5"/>
  <c r="R87" i="5"/>
  <c r="R70" i="5"/>
  <c r="R88" i="5"/>
  <c r="O88" i="5"/>
  <c r="R104" i="5"/>
  <c r="N77" i="5"/>
  <c r="O77" i="5" s="1"/>
  <c r="N116" i="5"/>
  <c r="O116" i="5" s="1"/>
  <c r="N82" i="5"/>
  <c r="O82" i="5" s="1"/>
  <c r="N81" i="5"/>
  <c r="N115" i="5"/>
  <c r="N84" i="5"/>
  <c r="O84" i="5" s="1"/>
  <c r="N95" i="5"/>
  <c r="O95" i="5" s="1"/>
  <c r="N79" i="5"/>
  <c r="V126" i="5"/>
  <c r="N86" i="5"/>
  <c r="N103" i="5"/>
  <c r="N107" i="5"/>
  <c r="N75" i="5"/>
  <c r="O75" i="5" s="1"/>
  <c r="N123" i="5"/>
  <c r="N112" i="5"/>
  <c r="O112" i="5" s="1"/>
  <c r="N80" i="5"/>
  <c r="N120" i="5"/>
  <c r="N108" i="5"/>
  <c r="N111" i="5"/>
  <c r="O111" i="5" s="1"/>
  <c r="N91" i="5"/>
  <c r="N85" i="5"/>
  <c r="N71" i="5"/>
  <c r="O71" i="5" s="1"/>
  <c r="N83" i="5"/>
  <c r="N87" i="5"/>
  <c r="N125" i="5"/>
  <c r="O125" i="5" s="1"/>
  <c r="V71" i="5"/>
  <c r="V115" i="5"/>
  <c r="N97" i="5"/>
  <c r="N78" i="5"/>
  <c r="N99" i="5"/>
  <c r="V79" i="5"/>
  <c r="V95" i="5"/>
  <c r="N104" i="5"/>
  <c r="V84" i="5"/>
  <c r="N68" i="5"/>
  <c r="N101" i="5"/>
  <c r="N106" i="5"/>
  <c r="N118" i="5"/>
  <c r="N109" i="5"/>
  <c r="N114" i="5"/>
  <c r="N98" i="5"/>
  <c r="O98" i="5" s="1"/>
  <c r="N76" i="5"/>
  <c r="O76" i="5" s="1"/>
  <c r="N73" i="5"/>
  <c r="O73" i="5" s="1"/>
  <c r="N93" i="5"/>
  <c r="V102" i="5"/>
  <c r="V91" i="5"/>
  <c r="N72" i="5"/>
  <c r="N69" i="5"/>
  <c r="V70" i="5"/>
  <c r="N105" i="5"/>
  <c r="O105" i="5" s="1"/>
  <c r="N92" i="5"/>
  <c r="V114" i="5"/>
  <c r="V85" i="5"/>
  <c r="N124" i="5"/>
  <c r="V87" i="5"/>
  <c r="N113" i="5"/>
  <c r="N74" i="5"/>
  <c r="O74" i="5" s="1"/>
  <c r="J48" i="1"/>
  <c r="J48" i="5"/>
  <c r="J63" i="1"/>
  <c r="J63" i="5"/>
  <c r="N96" i="5"/>
  <c r="O96" i="5" s="1"/>
  <c r="J39" i="1"/>
  <c r="J52" i="1"/>
  <c r="J52" i="5"/>
  <c r="J65" i="1"/>
  <c r="J65" i="5"/>
  <c r="J47" i="1"/>
  <c r="J47" i="5"/>
  <c r="J62" i="1"/>
  <c r="J62" i="5"/>
  <c r="J46" i="1"/>
  <c r="J46" i="5"/>
  <c r="J67" i="1"/>
  <c r="J67" i="5"/>
  <c r="J64" i="1"/>
  <c r="J64" i="5"/>
  <c r="J45" i="1"/>
  <c r="J45" i="5"/>
  <c r="J53" i="1"/>
  <c r="J53" i="5"/>
  <c r="J51" i="1"/>
  <c r="J51" i="5"/>
  <c r="J49" i="1"/>
  <c r="J49" i="5"/>
  <c r="J56" i="1"/>
  <c r="J60" i="1"/>
  <c r="J60" i="5"/>
  <c r="J44" i="1"/>
  <c r="J44" i="5"/>
  <c r="J61" i="1"/>
  <c r="J61" i="5"/>
  <c r="J59" i="1"/>
  <c r="J59" i="5"/>
  <c r="J43" i="1"/>
  <c r="J43" i="5"/>
  <c r="J40" i="1"/>
  <c r="J40" i="5"/>
  <c r="N121" i="5"/>
  <c r="J54" i="1"/>
  <c r="J54" i="5"/>
  <c r="J66" i="1"/>
  <c r="J66" i="5"/>
  <c r="J42" i="1"/>
  <c r="J42" i="5"/>
  <c r="J50" i="1"/>
  <c r="J50" i="5"/>
  <c r="J58" i="1"/>
  <c r="J58" i="5"/>
  <c r="J55" i="1"/>
  <c r="J57" i="1"/>
  <c r="J57" i="5"/>
  <c r="J41" i="1"/>
  <c r="J41" i="5"/>
  <c r="V111" i="5"/>
  <c r="V106" i="5"/>
  <c r="H48" i="1"/>
  <c r="V48" i="1" s="1"/>
  <c r="H48" i="5"/>
  <c r="H45" i="1"/>
  <c r="V45" i="1" s="1"/>
  <c r="H45" i="5"/>
  <c r="N90" i="5"/>
  <c r="O90" i="5" s="1"/>
  <c r="V96" i="5"/>
  <c r="N100" i="5"/>
  <c r="V109" i="5"/>
  <c r="H65" i="1"/>
  <c r="V65" i="1" s="1"/>
  <c r="H65" i="5"/>
  <c r="H54" i="1"/>
  <c r="V54" i="1" s="1"/>
  <c r="H54" i="5"/>
  <c r="H51" i="1"/>
  <c r="H51" i="5"/>
  <c r="H42" i="1"/>
  <c r="V42" i="1" s="1"/>
  <c r="H42" i="5"/>
  <c r="N117" i="5"/>
  <c r="H58" i="1"/>
  <c r="H58" i="5"/>
  <c r="H50" i="1"/>
  <c r="V50" i="1" s="1"/>
  <c r="H50" i="5"/>
  <c r="H47" i="1"/>
  <c r="H47" i="5"/>
  <c r="H64" i="1"/>
  <c r="H64" i="5"/>
  <c r="H41" i="1"/>
  <c r="V41" i="1" s="1"/>
  <c r="H41" i="5"/>
  <c r="H62" i="1"/>
  <c r="H62" i="5"/>
  <c r="V122" i="5"/>
  <c r="N89" i="5"/>
  <c r="N110" i="5"/>
  <c r="H43" i="1"/>
  <c r="V43" i="1" s="1"/>
  <c r="H43" i="5"/>
  <c r="H66" i="1"/>
  <c r="H66" i="5"/>
  <c r="H53" i="1"/>
  <c r="H53" i="5"/>
  <c r="H57" i="1"/>
  <c r="H57" i="5"/>
  <c r="H44" i="1"/>
  <c r="V44" i="1" s="1"/>
  <c r="H44" i="5"/>
  <c r="N94" i="5"/>
  <c r="H56" i="1"/>
  <c r="H56" i="5"/>
  <c r="V76" i="5"/>
  <c r="H63" i="1"/>
  <c r="H63" i="5"/>
  <c r="H61" i="1"/>
  <c r="H61" i="5"/>
  <c r="H52" i="1"/>
  <c r="H52" i="5"/>
  <c r="H60" i="1"/>
  <c r="V60" i="1" s="1"/>
  <c r="H60" i="5"/>
  <c r="V98" i="5"/>
  <c r="V118" i="5"/>
  <c r="H55" i="1"/>
  <c r="V55" i="1" s="1"/>
  <c r="H55" i="5"/>
  <c r="V83" i="5"/>
  <c r="H39" i="1"/>
  <c r="V39" i="1" s="1"/>
  <c r="H39" i="5"/>
  <c r="H49" i="1"/>
  <c r="H49" i="5"/>
  <c r="V82" i="5"/>
  <c r="H46" i="1"/>
  <c r="H46" i="5"/>
  <c r="H67" i="1"/>
  <c r="H67" i="5"/>
  <c r="H59" i="1"/>
  <c r="H59" i="5"/>
  <c r="I42" i="1"/>
  <c r="I44" i="1"/>
  <c r="I44" i="5"/>
  <c r="I53" i="1"/>
  <c r="I53" i="5"/>
  <c r="I52" i="1"/>
  <c r="I52" i="5"/>
  <c r="I59" i="1"/>
  <c r="I59" i="5"/>
  <c r="I51" i="1"/>
  <c r="I51" i="5"/>
  <c r="I57" i="1"/>
  <c r="I57" i="5"/>
  <c r="I67" i="5"/>
  <c r="I67" i="1"/>
  <c r="I41" i="1"/>
  <c r="I66" i="5"/>
  <c r="I66" i="1"/>
  <c r="I50" i="1"/>
  <c r="I50" i="5"/>
  <c r="I61" i="1"/>
  <c r="I56" i="1"/>
  <c r="I56" i="5"/>
  <c r="I55" i="1"/>
  <c r="I55" i="5"/>
  <c r="I49" i="1"/>
  <c r="I49" i="5"/>
  <c r="I40" i="1"/>
  <c r="I40" i="5"/>
  <c r="I39" i="1"/>
  <c r="I39" i="5"/>
  <c r="I54" i="1"/>
  <c r="I54" i="5"/>
  <c r="I65" i="5"/>
  <c r="I65" i="1"/>
  <c r="I64" i="1"/>
  <c r="I64" i="5"/>
  <c r="I48" i="1"/>
  <c r="I48" i="5"/>
  <c r="I63" i="1"/>
  <c r="I63" i="5"/>
  <c r="I47" i="1"/>
  <c r="I47" i="5"/>
  <c r="I45" i="1"/>
  <c r="I43" i="1"/>
  <c r="I43" i="5"/>
  <c r="I60" i="1"/>
  <c r="I58" i="1"/>
  <c r="I62" i="1"/>
  <c r="I62" i="5"/>
  <c r="I46" i="1"/>
  <c r="I46" i="5"/>
  <c r="H40" i="1"/>
  <c r="V40" i="1" s="1"/>
  <c r="H40" i="5"/>
  <c r="K38" i="1"/>
  <c r="K38" i="5"/>
  <c r="R38" i="1"/>
  <c r="I38" i="5"/>
  <c r="J38" i="1"/>
  <c r="J38" i="5"/>
  <c r="H38" i="1"/>
  <c r="H38" i="5"/>
  <c r="L22" i="5"/>
  <c r="M22" i="5"/>
  <c r="D22" i="5"/>
  <c r="K22" i="5"/>
  <c r="J22" i="5"/>
  <c r="I22" i="5"/>
  <c r="U17" i="5" s="1"/>
  <c r="G22" i="5"/>
  <c r="S11" i="5" s="1"/>
  <c r="S14" i="5" s="1"/>
  <c r="E22" i="5"/>
  <c r="U11" i="5" s="1"/>
  <c r="U14" i="5" s="1"/>
  <c r="F22" i="5"/>
  <c r="T38" i="1"/>
  <c r="V52" i="1" l="1"/>
  <c r="V47" i="1"/>
  <c r="V67" i="1"/>
  <c r="V46" i="1"/>
  <c r="V63" i="1"/>
  <c r="V66" i="1"/>
  <c r="V58" i="1"/>
  <c r="V61" i="1"/>
  <c r="V49" i="1"/>
  <c r="V64" i="1"/>
  <c r="V51" i="1"/>
  <c r="P125" i="5"/>
  <c r="Q125" i="5" s="1"/>
  <c r="Z125" i="5" s="1"/>
  <c r="AA125" i="5" s="1"/>
  <c r="P84" i="5"/>
  <c r="Q84" i="5" s="1"/>
  <c r="Z84" i="5" s="1"/>
  <c r="AA84" i="5" s="1"/>
  <c r="P112" i="5"/>
  <c r="Q112" i="5" s="1"/>
  <c r="Z112" i="5" s="1"/>
  <c r="AA112" i="5" s="1"/>
  <c r="P76" i="5"/>
  <c r="Q76" i="5"/>
  <c r="Z76" i="5" s="1"/>
  <c r="AA76" i="5" s="1"/>
  <c r="P95" i="5"/>
  <c r="Q95" i="5" s="1"/>
  <c r="Z95" i="5" s="1"/>
  <c r="AA95" i="5" s="1"/>
  <c r="P98" i="5"/>
  <c r="Q98" i="5"/>
  <c r="Z98" i="5" s="1"/>
  <c r="AA98" i="5" s="1"/>
  <c r="P96" i="5"/>
  <c r="Q96" i="5"/>
  <c r="Z96" i="5" s="1"/>
  <c r="AA96" i="5" s="1"/>
  <c r="P74" i="5"/>
  <c r="Q74" i="5" s="1"/>
  <c r="Z74" i="5" s="1"/>
  <c r="AA74" i="5" s="1"/>
  <c r="R48" i="1"/>
  <c r="R52" i="1"/>
  <c r="P122" i="1"/>
  <c r="Q122" i="1" s="1"/>
  <c r="Z122" i="1" s="1"/>
  <c r="AA122" i="1" s="1"/>
  <c r="P119" i="1"/>
  <c r="Q119" i="1" s="1"/>
  <c r="Z119" i="1" s="1"/>
  <c r="AA119" i="1" s="1"/>
  <c r="R58" i="1"/>
  <c r="P118" i="1"/>
  <c r="Q118" i="1" s="1"/>
  <c r="Z118" i="1" s="1"/>
  <c r="AA118" i="1" s="1"/>
  <c r="R60" i="1"/>
  <c r="P109" i="1"/>
  <c r="Q109" i="1"/>
  <c r="Z109" i="1" s="1"/>
  <c r="AA109" i="1" s="1"/>
  <c r="R43" i="1"/>
  <c r="R40" i="1"/>
  <c r="R49" i="1"/>
  <c r="R51" i="1"/>
  <c r="P103" i="1"/>
  <c r="Q103" i="1" s="1"/>
  <c r="Z103" i="1" s="1"/>
  <c r="AA103" i="1" s="1"/>
  <c r="P91" i="1"/>
  <c r="Q91" i="1" s="1"/>
  <c r="Z91" i="1" s="1"/>
  <c r="AA91" i="1" s="1"/>
  <c r="P73" i="5"/>
  <c r="Q73" i="5" s="1"/>
  <c r="Z73" i="5" s="1"/>
  <c r="AA73" i="5" s="1"/>
  <c r="P123" i="1"/>
  <c r="Q123" i="1"/>
  <c r="Z123" i="1" s="1"/>
  <c r="AA123" i="1" s="1"/>
  <c r="R50" i="1"/>
  <c r="P75" i="5"/>
  <c r="Q75" i="5" s="1"/>
  <c r="Z75" i="5" s="1"/>
  <c r="AA75" i="5" s="1"/>
  <c r="P90" i="5"/>
  <c r="Q90" i="5" s="1"/>
  <c r="Z90" i="5" s="1"/>
  <c r="AA90" i="5" s="1"/>
  <c r="R41" i="1"/>
  <c r="P122" i="5"/>
  <c r="Q122" i="5" s="1"/>
  <c r="Z122" i="5" s="1"/>
  <c r="AA122" i="5" s="1"/>
  <c r="R57" i="1"/>
  <c r="R47" i="1"/>
  <c r="P82" i="5"/>
  <c r="Q82" i="5" s="1"/>
  <c r="Z82" i="5" s="1"/>
  <c r="AA82" i="5" s="1"/>
  <c r="R56" i="1"/>
  <c r="P124" i="1"/>
  <c r="Q124" i="1"/>
  <c r="Z124" i="1" s="1"/>
  <c r="AA124" i="1" s="1"/>
  <c r="P119" i="5"/>
  <c r="Q119" i="5" s="1"/>
  <c r="Z119" i="5" s="1"/>
  <c r="AA119" i="5" s="1"/>
  <c r="R64" i="1"/>
  <c r="P120" i="1"/>
  <c r="Q120" i="1" s="1"/>
  <c r="Z120" i="1" s="1"/>
  <c r="AA120" i="1" s="1"/>
  <c r="R46" i="1"/>
  <c r="R66" i="1"/>
  <c r="P71" i="5"/>
  <c r="Q71" i="5" s="1"/>
  <c r="Z71" i="5" s="1"/>
  <c r="AA71" i="5" s="1"/>
  <c r="P107" i="1"/>
  <c r="Q107" i="1"/>
  <c r="Z107" i="1" s="1"/>
  <c r="AA107" i="1" s="1"/>
  <c r="R62" i="1"/>
  <c r="R54" i="1"/>
  <c r="P111" i="5"/>
  <c r="Q111" i="5" s="1"/>
  <c r="Z111" i="5" s="1"/>
  <c r="AA111" i="5" s="1"/>
  <c r="P105" i="5"/>
  <c r="Q105" i="5" s="1"/>
  <c r="Z105" i="5" s="1"/>
  <c r="AA105" i="5" s="1"/>
  <c r="R63" i="1"/>
  <c r="R59" i="1"/>
  <c r="P116" i="5"/>
  <c r="Q116" i="5"/>
  <c r="Z116" i="5" s="1"/>
  <c r="AA116" i="5" s="1"/>
  <c r="P77" i="5"/>
  <c r="Q77" i="5" s="1"/>
  <c r="Z77" i="5" s="1"/>
  <c r="AA77" i="5" s="1"/>
  <c r="P115" i="1"/>
  <c r="Q115" i="1" s="1"/>
  <c r="Z115" i="1" s="1"/>
  <c r="AA115" i="1" s="1"/>
  <c r="R61" i="1"/>
  <c r="P88" i="5"/>
  <c r="Q88" i="5" s="1"/>
  <c r="Z88" i="5" s="1"/>
  <c r="AA88" i="5" s="1"/>
  <c r="R53" i="1"/>
  <c r="P102" i="5"/>
  <c r="Q102" i="5" s="1"/>
  <c r="Z102" i="5" s="1"/>
  <c r="AA102" i="5" s="1"/>
  <c r="R65" i="1"/>
  <c r="R44" i="1"/>
  <c r="R42" i="1"/>
  <c r="R67" i="1"/>
  <c r="O86" i="5"/>
  <c r="P126" i="5"/>
  <c r="Q126" i="5" s="1"/>
  <c r="Z126" i="5" s="1"/>
  <c r="AA126" i="5" s="1"/>
  <c r="R39" i="1"/>
  <c r="R45" i="1"/>
  <c r="P70" i="5"/>
  <c r="Q70" i="5" s="1"/>
  <c r="Z70" i="5" s="1"/>
  <c r="AA70" i="5" s="1"/>
  <c r="P83" i="1"/>
  <c r="Q83" i="1"/>
  <c r="Z83" i="1" s="1"/>
  <c r="AA83" i="1" s="1"/>
  <c r="P68" i="1"/>
  <c r="Q68" i="1" s="1"/>
  <c r="Z68" i="1" s="1"/>
  <c r="AA68" i="1" s="1"/>
  <c r="R55" i="1"/>
  <c r="O113" i="5"/>
  <c r="R55" i="5"/>
  <c r="AT55" i="5" s="1"/>
  <c r="R48" i="5"/>
  <c r="AT48" i="5" s="1"/>
  <c r="R52" i="5"/>
  <c r="AT52" i="5" s="1"/>
  <c r="O120" i="5"/>
  <c r="O104" i="5"/>
  <c r="R53" i="5"/>
  <c r="AT53" i="5" s="1"/>
  <c r="O87" i="5"/>
  <c r="O89" i="5"/>
  <c r="O114" i="5"/>
  <c r="O115" i="5"/>
  <c r="O68" i="5"/>
  <c r="O80" i="5"/>
  <c r="R64" i="5"/>
  <c r="AT64" i="5" s="1"/>
  <c r="O69" i="5"/>
  <c r="R46" i="5"/>
  <c r="AT46" i="5" s="1"/>
  <c r="O108" i="5"/>
  <c r="R65" i="5"/>
  <c r="AT65" i="5" s="1"/>
  <c r="AU65" i="5" s="1"/>
  <c r="O107" i="5"/>
  <c r="R38" i="5"/>
  <c r="O72" i="5"/>
  <c r="O100" i="5"/>
  <c r="O97" i="5"/>
  <c r="R47" i="5"/>
  <c r="AT47" i="5" s="1"/>
  <c r="R51" i="5"/>
  <c r="AT51" i="5" s="1"/>
  <c r="O91" i="5"/>
  <c r="R63" i="5"/>
  <c r="AT63" i="5" s="1"/>
  <c r="R59" i="5"/>
  <c r="AT59" i="5" s="1"/>
  <c r="O106" i="5"/>
  <c r="R54" i="5"/>
  <c r="AT54" i="5" s="1"/>
  <c r="AU54" i="5" s="1"/>
  <c r="R66" i="5"/>
  <c r="AT66" i="5" s="1"/>
  <c r="O103" i="5"/>
  <c r="O121" i="5"/>
  <c r="R40" i="5"/>
  <c r="AT40" i="5" s="1"/>
  <c r="AU40" i="5" s="1"/>
  <c r="R57" i="5"/>
  <c r="AT57" i="5" s="1"/>
  <c r="O109" i="5"/>
  <c r="O83" i="5"/>
  <c r="O99" i="5"/>
  <c r="R49" i="5"/>
  <c r="AT49" i="5" s="1"/>
  <c r="AU49" i="5" s="1"/>
  <c r="R56" i="5"/>
  <c r="AT56" i="5" s="1"/>
  <c r="AU56" i="5" s="1"/>
  <c r="O101" i="5"/>
  <c r="R50" i="5"/>
  <c r="AT50" i="5" s="1"/>
  <c r="AU50" i="5" s="1"/>
  <c r="O123" i="5"/>
  <c r="O94" i="5"/>
  <c r="O110" i="5"/>
  <c r="R44" i="5"/>
  <c r="AT44" i="5" s="1"/>
  <c r="O78" i="5"/>
  <c r="R62" i="5"/>
  <c r="AT62" i="5" s="1"/>
  <c r="O81" i="5"/>
  <c r="R39" i="5"/>
  <c r="AT39" i="5" s="1"/>
  <c r="R43" i="5"/>
  <c r="R67" i="5"/>
  <c r="AT67" i="5" s="1"/>
  <c r="O92" i="5"/>
  <c r="O124" i="5"/>
  <c r="O118" i="5"/>
  <c r="O79" i="5"/>
  <c r="O85" i="5"/>
  <c r="O93" i="5"/>
  <c r="O117" i="5"/>
  <c r="AT70" i="5"/>
  <c r="AT86" i="5"/>
  <c r="AT102" i="5"/>
  <c r="AT118" i="5"/>
  <c r="AT73" i="5"/>
  <c r="AT105" i="5"/>
  <c r="AT42" i="5"/>
  <c r="AT90" i="5"/>
  <c r="AU90" i="5" s="1"/>
  <c r="AT43" i="5"/>
  <c r="AU43" i="5" s="1"/>
  <c r="AT91" i="5"/>
  <c r="AU91" i="5" s="1"/>
  <c r="AT123" i="5"/>
  <c r="AU123" i="5" s="1"/>
  <c r="AT92" i="5"/>
  <c r="AT124" i="5"/>
  <c r="AT61" i="5"/>
  <c r="AT125" i="5"/>
  <c r="AT94" i="5"/>
  <c r="AT126" i="5"/>
  <c r="AT111" i="5"/>
  <c r="AT96" i="5"/>
  <c r="AT112" i="5"/>
  <c r="AT97" i="5"/>
  <c r="AT99" i="5"/>
  <c r="AT115" i="5"/>
  <c r="AT100" i="5"/>
  <c r="AT116" i="5"/>
  <c r="AU116" i="5" s="1"/>
  <c r="AT101" i="5"/>
  <c r="AT71" i="5"/>
  <c r="AT87" i="5"/>
  <c r="AT103" i="5"/>
  <c r="AT119" i="5"/>
  <c r="AU119" i="5" s="1"/>
  <c r="AT41" i="5"/>
  <c r="AU41" i="5" s="1"/>
  <c r="AT58" i="5"/>
  <c r="AT75" i="5"/>
  <c r="AT76" i="5"/>
  <c r="AT77" i="5"/>
  <c r="AT79" i="5"/>
  <c r="AU79" i="5" s="1"/>
  <c r="AT80" i="5"/>
  <c r="AT81" i="5"/>
  <c r="AU81" i="5" s="1"/>
  <c r="AT82" i="5"/>
  <c r="AT68" i="5"/>
  <c r="AT85" i="5"/>
  <c r="AT72" i="5"/>
  <c r="AU72" i="5" s="1"/>
  <c r="AT88" i="5"/>
  <c r="AU88" i="5" s="1"/>
  <c r="AT104" i="5"/>
  <c r="AT120" i="5"/>
  <c r="AT89" i="5"/>
  <c r="AT121" i="5"/>
  <c r="AT74" i="5"/>
  <c r="AU74" i="5" s="1"/>
  <c r="AT106" i="5"/>
  <c r="AT122" i="5"/>
  <c r="AT107" i="5"/>
  <c r="AT60" i="5"/>
  <c r="AT108" i="5"/>
  <c r="AT45" i="5"/>
  <c r="AU45" i="5" s="1"/>
  <c r="AT93" i="5"/>
  <c r="AT109" i="5"/>
  <c r="AT78" i="5"/>
  <c r="AU78" i="5" s="1"/>
  <c r="AT110" i="5"/>
  <c r="AT95" i="5"/>
  <c r="AT113" i="5"/>
  <c r="AT98" i="5"/>
  <c r="AT114" i="5"/>
  <c r="AT83" i="5"/>
  <c r="AT84" i="5"/>
  <c r="AT69" i="5"/>
  <c r="AT117" i="5"/>
  <c r="AU117" i="5" s="1"/>
  <c r="N49" i="1"/>
  <c r="O49" i="1" s="1"/>
  <c r="N42" i="1"/>
  <c r="O42" i="1" s="1"/>
  <c r="N46" i="1"/>
  <c r="O46" i="1" s="1"/>
  <c r="N63" i="1"/>
  <c r="O63" i="1" s="1"/>
  <c r="N50" i="1"/>
  <c r="N43" i="1"/>
  <c r="N48" i="1"/>
  <c r="O48" i="1" s="1"/>
  <c r="N58" i="1"/>
  <c r="O58" i="1" s="1"/>
  <c r="N64" i="1"/>
  <c r="O64" i="1" s="1"/>
  <c r="N57" i="1"/>
  <c r="O57" i="1" s="1"/>
  <c r="N59" i="1"/>
  <c r="O59" i="1" s="1"/>
  <c r="N53" i="1"/>
  <c r="O53" i="1" s="1"/>
  <c r="N61" i="1"/>
  <c r="O61" i="1" s="1"/>
  <c r="N67" i="1"/>
  <c r="O67" i="1" s="1"/>
  <c r="V53" i="1"/>
  <c r="N52" i="1"/>
  <c r="O52" i="1" s="1"/>
  <c r="N60" i="1"/>
  <c r="O60" i="1" s="1"/>
  <c r="N45" i="1"/>
  <c r="O45" i="1" s="1"/>
  <c r="V57" i="1"/>
  <c r="N66" i="1"/>
  <c r="O66" i="1" s="1"/>
  <c r="V59" i="1"/>
  <c r="N40" i="1"/>
  <c r="O40" i="1" s="1"/>
  <c r="N56" i="1"/>
  <c r="O56" i="1" s="1"/>
  <c r="N62" i="1"/>
  <c r="O62" i="1" s="1"/>
  <c r="N55" i="1"/>
  <c r="O55" i="1" s="1"/>
  <c r="N44" i="1"/>
  <c r="N47" i="1"/>
  <c r="O47" i="1" s="1"/>
  <c r="N56" i="5"/>
  <c r="V56" i="5"/>
  <c r="V50" i="5"/>
  <c r="N50" i="5"/>
  <c r="V67" i="5"/>
  <c r="N67" i="5"/>
  <c r="N52" i="5"/>
  <c r="V52" i="5"/>
  <c r="N66" i="5"/>
  <c r="V66" i="5"/>
  <c r="V45" i="5"/>
  <c r="N45" i="5"/>
  <c r="V65" i="5"/>
  <c r="N65" i="5"/>
  <c r="O65" i="5" s="1"/>
  <c r="V57" i="5"/>
  <c r="N57" i="5"/>
  <c r="O57" i="5" s="1"/>
  <c r="V58" i="5"/>
  <c r="N58" i="5"/>
  <c r="N41" i="1"/>
  <c r="N46" i="5"/>
  <c r="V46" i="5"/>
  <c r="N61" i="5"/>
  <c r="V61" i="5"/>
  <c r="N43" i="5"/>
  <c r="V43" i="5"/>
  <c r="V48" i="5"/>
  <c r="N48" i="5"/>
  <c r="O48" i="5" s="1"/>
  <c r="N54" i="5"/>
  <c r="O54" i="5" s="1"/>
  <c r="V54" i="5"/>
  <c r="N51" i="1"/>
  <c r="O51" i="1" s="1"/>
  <c r="V56" i="1"/>
  <c r="V62" i="1"/>
  <c r="N39" i="1"/>
  <c r="N65" i="1"/>
  <c r="V62" i="5"/>
  <c r="N62" i="5"/>
  <c r="O62" i="5" s="1"/>
  <c r="N41" i="5"/>
  <c r="V41" i="5"/>
  <c r="V55" i="5"/>
  <c r="N55" i="5"/>
  <c r="N54" i="1"/>
  <c r="O54" i="1" s="1"/>
  <c r="N60" i="5"/>
  <c r="V60" i="5"/>
  <c r="V63" i="5"/>
  <c r="N63" i="5"/>
  <c r="O63" i="5" s="1"/>
  <c r="N42" i="5"/>
  <c r="V42" i="5"/>
  <c r="V39" i="5"/>
  <c r="N39" i="5"/>
  <c r="N47" i="5"/>
  <c r="V47" i="5"/>
  <c r="V59" i="5"/>
  <c r="N59" i="5"/>
  <c r="N49" i="5"/>
  <c r="O49" i="5" s="1"/>
  <c r="V49" i="5"/>
  <c r="V44" i="5"/>
  <c r="N44" i="5"/>
  <c r="O44" i="5" s="1"/>
  <c r="N64" i="5"/>
  <c r="V64" i="5"/>
  <c r="N53" i="5"/>
  <c r="O53" i="5" s="1"/>
  <c r="V53" i="5"/>
  <c r="V51" i="5"/>
  <c r="N51" i="5"/>
  <c r="N40" i="5"/>
  <c r="O40" i="5" s="1"/>
  <c r="V40" i="5"/>
  <c r="N38" i="1"/>
  <c r="O38" i="1" s="1"/>
  <c r="N38" i="5"/>
  <c r="O38" i="5" s="1"/>
  <c r="V38" i="5"/>
  <c r="AD98" i="5"/>
  <c r="AD67" i="5"/>
  <c r="AD100" i="5"/>
  <c r="AD83" i="5"/>
  <c r="AD52" i="5"/>
  <c r="AD116" i="5"/>
  <c r="AD40" i="5"/>
  <c r="AD123" i="5"/>
  <c r="AD45" i="5"/>
  <c r="AD54" i="5"/>
  <c r="AD107" i="5"/>
  <c r="AD85" i="5"/>
  <c r="AD56" i="5"/>
  <c r="AD109" i="5"/>
  <c r="AD71" i="5"/>
  <c r="AD42" i="5"/>
  <c r="AD125" i="5"/>
  <c r="AD73" i="5"/>
  <c r="AD103" i="5"/>
  <c r="AD74" i="5"/>
  <c r="AD105" i="5"/>
  <c r="AD76" i="5"/>
  <c r="AD55" i="5"/>
  <c r="AD86" i="5"/>
  <c r="AD57" i="5"/>
  <c r="AD58" i="5"/>
  <c r="AD122" i="5"/>
  <c r="AD61" i="5"/>
  <c r="AD87" i="5"/>
  <c r="AD88" i="5"/>
  <c r="AD39" i="5"/>
  <c r="AD59" i="5"/>
  <c r="AD89" i="5"/>
  <c r="AD117" i="5"/>
  <c r="AD118" i="5"/>
  <c r="AD120" i="5"/>
  <c r="AD60" i="5"/>
  <c r="AD69" i="5"/>
  <c r="AD90" i="5"/>
  <c r="AD91" i="5"/>
  <c r="AD92" i="5"/>
  <c r="AD119" i="5"/>
  <c r="AD121" i="5"/>
  <c r="AD70" i="5"/>
  <c r="AD115" i="5"/>
  <c r="AD112" i="5"/>
  <c r="AD38" i="5"/>
  <c r="AD44" i="5"/>
  <c r="AD108" i="5"/>
  <c r="AD80" i="5"/>
  <c r="AD94" i="5"/>
  <c r="AD126" i="5"/>
  <c r="AD99" i="5"/>
  <c r="AD63" i="5"/>
  <c r="AD124" i="5"/>
  <c r="AD96" i="5"/>
  <c r="AD72" i="5"/>
  <c r="AD51" i="5"/>
  <c r="AD50" i="5"/>
  <c r="AD79" i="5"/>
  <c r="AD41" i="5"/>
  <c r="AD102" i="5"/>
  <c r="AD48" i="5"/>
  <c r="AD84" i="5"/>
  <c r="AD46" i="5"/>
  <c r="AD47" i="5"/>
  <c r="AD81" i="5"/>
  <c r="AD111" i="5"/>
  <c r="AD78" i="5"/>
  <c r="AD104" i="5"/>
  <c r="AD106" i="5"/>
  <c r="AD77" i="5"/>
  <c r="AD75" i="5"/>
  <c r="AD93" i="5"/>
  <c r="AD62" i="5"/>
  <c r="AD114" i="5"/>
  <c r="AD97" i="5"/>
  <c r="AD68" i="5"/>
  <c r="AD64" i="5"/>
  <c r="AD101" i="5"/>
  <c r="AD43" i="5"/>
  <c r="AD110" i="5"/>
  <c r="AD82" i="5"/>
  <c r="AD53" i="5"/>
  <c r="AD113" i="5"/>
  <c r="AD65" i="5"/>
  <c r="AD66" i="5"/>
  <c r="AD49" i="5"/>
  <c r="AD95" i="5"/>
  <c r="U20" i="5"/>
  <c r="U26" i="5" s="1"/>
  <c r="U32" i="5" s="1"/>
  <c r="AV88" i="5" l="1"/>
  <c r="P38" i="5"/>
  <c r="Q38" i="5" s="1"/>
  <c r="Z38" i="5" s="1"/>
  <c r="AA38" i="5" s="1"/>
  <c r="P52" i="1"/>
  <c r="Q52" i="1" s="1"/>
  <c r="Z52" i="1" s="1"/>
  <c r="AA52" i="1" s="1"/>
  <c r="P59" i="1"/>
  <c r="Q59" i="1"/>
  <c r="Z59" i="1" s="1"/>
  <c r="AA59" i="1" s="1"/>
  <c r="P62" i="1"/>
  <c r="Q62" i="1"/>
  <c r="Z62" i="1" s="1"/>
  <c r="AA62" i="1" s="1"/>
  <c r="P49" i="5"/>
  <c r="Q49" i="5"/>
  <c r="Z49" i="5" s="1"/>
  <c r="AA49" i="5" s="1"/>
  <c r="P65" i="5"/>
  <c r="Q65" i="5"/>
  <c r="Z65" i="5" s="1"/>
  <c r="AA65" i="5" s="1"/>
  <c r="P48" i="5"/>
  <c r="Q48" i="5"/>
  <c r="Z48" i="5" s="1"/>
  <c r="AA48" i="5" s="1"/>
  <c r="P45" i="1"/>
  <c r="Q45" i="1"/>
  <c r="Z45" i="1" s="1"/>
  <c r="AA45" i="1" s="1"/>
  <c r="P62" i="5"/>
  <c r="Q62" i="5" s="1"/>
  <c r="Z62" i="5" s="1"/>
  <c r="AA62" i="5" s="1"/>
  <c r="P63" i="5"/>
  <c r="Q63" i="5"/>
  <c r="P53" i="5"/>
  <c r="Q53" i="5" s="1"/>
  <c r="Z53" i="5" s="1"/>
  <c r="AA53" i="5" s="1"/>
  <c r="P56" i="1"/>
  <c r="Q56" i="1" s="1"/>
  <c r="Z56" i="1" s="1"/>
  <c r="AA56" i="1" s="1"/>
  <c r="P48" i="1"/>
  <c r="Q48" i="1"/>
  <c r="Z48" i="1" s="1"/>
  <c r="AA48" i="1" s="1"/>
  <c r="P60" i="1"/>
  <c r="Q60" i="1"/>
  <c r="Z60" i="1" s="1"/>
  <c r="AA60" i="1" s="1"/>
  <c r="P54" i="5"/>
  <c r="Q54" i="5" s="1"/>
  <c r="Z54" i="5" s="1"/>
  <c r="AA54" i="5" s="1"/>
  <c r="P81" i="5"/>
  <c r="Q81" i="5" s="1"/>
  <c r="Z81" i="5" s="1"/>
  <c r="AA81" i="5" s="1"/>
  <c r="P58" i="1"/>
  <c r="Q58" i="1" s="1"/>
  <c r="Z58" i="1" s="1"/>
  <c r="AA58" i="1" s="1"/>
  <c r="P109" i="5"/>
  <c r="Q109" i="5"/>
  <c r="Z109" i="5" s="1"/>
  <c r="AA109" i="5" s="1"/>
  <c r="P86" i="5"/>
  <c r="Q86" i="5" s="1"/>
  <c r="Z86" i="5" s="1"/>
  <c r="AA86" i="5" s="1"/>
  <c r="P97" i="5"/>
  <c r="Q97" i="5"/>
  <c r="Z97" i="5" s="1"/>
  <c r="AA97" i="5" s="1"/>
  <c r="P61" i="1"/>
  <c r="Q61" i="1"/>
  <c r="Z61" i="1" s="1"/>
  <c r="AA61" i="1" s="1"/>
  <c r="P93" i="5"/>
  <c r="Q93" i="5" s="1"/>
  <c r="Z93" i="5" s="1"/>
  <c r="AA93" i="5" s="1"/>
  <c r="P72" i="5"/>
  <c r="Q72" i="5" s="1"/>
  <c r="Z72" i="5" s="1"/>
  <c r="AA72" i="5" s="1"/>
  <c r="P123" i="5"/>
  <c r="Q123" i="5"/>
  <c r="Z123" i="5" s="1"/>
  <c r="AA123" i="5" s="1"/>
  <c r="P103" i="5"/>
  <c r="Q103" i="5" s="1"/>
  <c r="Z103" i="5" s="1"/>
  <c r="AA103" i="5" s="1"/>
  <c r="P107" i="5"/>
  <c r="Q107" i="5" s="1"/>
  <c r="Z107" i="5" s="1"/>
  <c r="AA107" i="5" s="1"/>
  <c r="P42" i="1"/>
  <c r="Q42" i="1" s="1"/>
  <c r="Z42" i="1" s="1"/>
  <c r="AA42" i="1" s="1"/>
  <c r="P124" i="5"/>
  <c r="Q124" i="5" s="1"/>
  <c r="Z124" i="5" s="1"/>
  <c r="AA124" i="5" s="1"/>
  <c r="P92" i="5"/>
  <c r="Q92" i="5" s="1"/>
  <c r="Z92" i="5" s="1"/>
  <c r="AA92" i="5" s="1"/>
  <c r="P120" i="5"/>
  <c r="Q120" i="5" s="1"/>
  <c r="Z120" i="5" s="1"/>
  <c r="AA120" i="5" s="1"/>
  <c r="O65" i="1"/>
  <c r="O41" i="1"/>
  <c r="P83" i="5"/>
  <c r="Q83" i="5" s="1"/>
  <c r="Z83" i="5" s="1"/>
  <c r="AA83" i="5" s="1"/>
  <c r="P53" i="1"/>
  <c r="Q53" i="1" s="1"/>
  <c r="Z53" i="1" s="1"/>
  <c r="AA53" i="1" s="1"/>
  <c r="P51" i="1"/>
  <c r="Q51" i="1" s="1"/>
  <c r="Z51" i="1" s="1"/>
  <c r="AA51" i="1" s="1"/>
  <c r="P80" i="5"/>
  <c r="Q80" i="5"/>
  <c r="Z80" i="5" s="1"/>
  <c r="AA80" i="5" s="1"/>
  <c r="P113" i="5"/>
  <c r="Q113" i="5" s="1"/>
  <c r="Z113" i="5" s="1"/>
  <c r="AA113" i="5" s="1"/>
  <c r="P44" i="5"/>
  <c r="Q44" i="5" s="1"/>
  <c r="Z44" i="5" s="1"/>
  <c r="AA44" i="5" s="1"/>
  <c r="P55" i="1"/>
  <c r="Q55" i="1" s="1"/>
  <c r="Z55" i="1" s="1"/>
  <c r="AA55" i="1" s="1"/>
  <c r="P47" i="1"/>
  <c r="Q47" i="1"/>
  <c r="P85" i="5"/>
  <c r="Q85" i="5" s="1"/>
  <c r="Z85" i="5" s="1"/>
  <c r="AA85" i="5" s="1"/>
  <c r="P114" i="5"/>
  <c r="Q114" i="5"/>
  <c r="Z114" i="5" s="1"/>
  <c r="AA114" i="5" s="1"/>
  <c r="P67" i="1"/>
  <c r="Q67" i="1"/>
  <c r="Z67" i="1" s="1"/>
  <c r="AA67" i="1" s="1"/>
  <c r="P57" i="1"/>
  <c r="Q57" i="1" s="1"/>
  <c r="Z57" i="1" s="1"/>
  <c r="AA57" i="1" s="1"/>
  <c r="P104" i="5"/>
  <c r="Q104" i="5" s="1"/>
  <c r="Z104" i="5" s="1"/>
  <c r="AA104" i="5" s="1"/>
  <c r="AV81" i="5"/>
  <c r="P106" i="5"/>
  <c r="Q106" i="5" s="1"/>
  <c r="Z106" i="5" s="1"/>
  <c r="AA106" i="5" s="1"/>
  <c r="P108" i="5"/>
  <c r="Q108" i="5"/>
  <c r="Z108" i="5" s="1"/>
  <c r="AA108" i="5" s="1"/>
  <c r="P63" i="1"/>
  <c r="Q63" i="1" s="1"/>
  <c r="Z63" i="1" s="1"/>
  <c r="AA63" i="1" s="1"/>
  <c r="P91" i="5"/>
  <c r="Q91" i="5"/>
  <c r="Z91" i="5" s="1"/>
  <c r="AA91" i="5" s="1"/>
  <c r="P49" i="1"/>
  <c r="Q49" i="1" s="1"/>
  <c r="Z49" i="1" s="1"/>
  <c r="AA49" i="1" s="1"/>
  <c r="P38" i="1"/>
  <c r="Q38" i="1"/>
  <c r="P57" i="5"/>
  <c r="Q57" i="5" s="1"/>
  <c r="Z57" i="5" s="1"/>
  <c r="AA57" i="5" s="1"/>
  <c r="P100" i="5"/>
  <c r="Q100" i="5" s="1"/>
  <c r="Z100" i="5" s="1"/>
  <c r="AA100" i="5" s="1"/>
  <c r="Z47" i="1"/>
  <c r="AA47" i="1" s="1"/>
  <c r="P110" i="5"/>
  <c r="Q110" i="5" s="1"/>
  <c r="Z110" i="5" s="1"/>
  <c r="AA110" i="5" s="1"/>
  <c r="P79" i="5"/>
  <c r="Q79" i="5"/>
  <c r="Z79" i="5" s="1"/>
  <c r="AA79" i="5" s="1"/>
  <c r="P121" i="5"/>
  <c r="Q121" i="5" s="1"/>
  <c r="Z121" i="5" s="1"/>
  <c r="AA121" i="5" s="1"/>
  <c r="P54" i="1"/>
  <c r="Q54" i="1" s="1"/>
  <c r="Z54" i="1" s="1"/>
  <c r="AA54" i="1" s="1"/>
  <c r="P118" i="5"/>
  <c r="Q118" i="5" s="1"/>
  <c r="Z118" i="5" s="1"/>
  <c r="AA118" i="5" s="1"/>
  <c r="P87" i="5"/>
  <c r="Q87" i="5" s="1"/>
  <c r="Z87" i="5" s="1"/>
  <c r="AA87" i="5" s="1"/>
  <c r="O44" i="1"/>
  <c r="AV116" i="5"/>
  <c r="O39" i="1"/>
  <c r="P66" i="1"/>
  <c r="Q66" i="1" s="1"/>
  <c r="Z66" i="1" s="1"/>
  <c r="AA66" i="1" s="1"/>
  <c r="P68" i="5"/>
  <c r="Q68" i="5"/>
  <c r="Z68" i="5" s="1"/>
  <c r="AA68" i="5" s="1"/>
  <c r="P78" i="5"/>
  <c r="Q78" i="5"/>
  <c r="Z78" i="5" s="1"/>
  <c r="AA78" i="5" s="1"/>
  <c r="P46" i="1"/>
  <c r="Q46" i="1"/>
  <c r="Z46" i="1" s="1"/>
  <c r="AA46" i="1" s="1"/>
  <c r="O50" i="1"/>
  <c r="P117" i="5"/>
  <c r="Q117" i="5" s="1"/>
  <c r="Z117" i="5" s="1"/>
  <c r="AA117" i="5" s="1"/>
  <c r="P115" i="5"/>
  <c r="Q115" i="5" s="1"/>
  <c r="Z115" i="5" s="1"/>
  <c r="AA115" i="5" s="1"/>
  <c r="P40" i="5"/>
  <c r="Q40" i="5" s="1"/>
  <c r="Z40" i="5" s="1"/>
  <c r="AA40" i="5" s="1"/>
  <c r="P40" i="1"/>
  <c r="Q40" i="1" s="1"/>
  <c r="Z40" i="1" s="1"/>
  <c r="AA40" i="1" s="1"/>
  <c r="P94" i="5"/>
  <c r="Q94" i="5"/>
  <c r="Z94" i="5" s="1"/>
  <c r="AA94" i="5" s="1"/>
  <c r="P89" i="5"/>
  <c r="Q89" i="5" s="1"/>
  <c r="Z89" i="5" s="1"/>
  <c r="AA89" i="5" s="1"/>
  <c r="P64" i="1"/>
  <c r="Q64" i="1" s="1"/>
  <c r="Z64" i="1" s="1"/>
  <c r="AA64" i="1" s="1"/>
  <c r="O43" i="1"/>
  <c r="P101" i="5"/>
  <c r="Q101" i="5" s="1"/>
  <c r="Z101" i="5" s="1"/>
  <c r="AA101" i="5" s="1"/>
  <c r="AV79" i="5"/>
  <c r="P99" i="5"/>
  <c r="Q99" i="5" s="1"/>
  <c r="Z99" i="5" s="1"/>
  <c r="AA99" i="5" s="1"/>
  <c r="P69" i="5"/>
  <c r="Q69" i="5" s="1"/>
  <c r="Z69" i="5" s="1"/>
  <c r="AA69" i="5" s="1"/>
  <c r="O61" i="5"/>
  <c r="O59" i="5"/>
  <c r="O51" i="5"/>
  <c r="O52" i="5"/>
  <c r="O67" i="5"/>
  <c r="O50" i="5"/>
  <c r="O47" i="5"/>
  <c r="O64" i="5"/>
  <c r="O46" i="5"/>
  <c r="O42" i="5"/>
  <c r="O43" i="5"/>
  <c r="AV54" i="5"/>
  <c r="O41" i="5"/>
  <c r="O60" i="5"/>
  <c r="O45" i="5"/>
  <c r="O56" i="5"/>
  <c r="O66" i="5"/>
  <c r="O55" i="5"/>
  <c r="O58" i="5"/>
  <c r="AV65" i="5"/>
  <c r="O39" i="5"/>
  <c r="AV74" i="5"/>
  <c r="AV41" i="5"/>
  <c r="AV72" i="5"/>
  <c r="AV49" i="5"/>
  <c r="AV123" i="5"/>
  <c r="AV40" i="5"/>
  <c r="AV117" i="5"/>
  <c r="AV50" i="5"/>
  <c r="AV56" i="5"/>
  <c r="AV43" i="5"/>
  <c r="AV90" i="5"/>
  <c r="AV45" i="5"/>
  <c r="AV119" i="5"/>
  <c r="AV78" i="5"/>
  <c r="AV91" i="5"/>
  <c r="AV38" i="5"/>
  <c r="AU38" i="5"/>
  <c r="AV89" i="5"/>
  <c r="AU89" i="5"/>
  <c r="AV77" i="5"/>
  <c r="AU77" i="5"/>
  <c r="AV115" i="5"/>
  <c r="AU115" i="5"/>
  <c r="AV124" i="5"/>
  <c r="AU124" i="5"/>
  <c r="AV95" i="5"/>
  <c r="AU95" i="5"/>
  <c r="AV57" i="5"/>
  <c r="AU57" i="5"/>
  <c r="AV76" i="5"/>
  <c r="AU76" i="5"/>
  <c r="AV99" i="5"/>
  <c r="AU99" i="5"/>
  <c r="AV92" i="5"/>
  <c r="AU92" i="5"/>
  <c r="AV47" i="5"/>
  <c r="AU47" i="5"/>
  <c r="AV120" i="5"/>
  <c r="AU120" i="5"/>
  <c r="AV75" i="5"/>
  <c r="AU75" i="5"/>
  <c r="AV51" i="5"/>
  <c r="AU51" i="5"/>
  <c r="AV44" i="5"/>
  <c r="AU44" i="5"/>
  <c r="AV52" i="5"/>
  <c r="AU52" i="5"/>
  <c r="AV110" i="5"/>
  <c r="AU110" i="5"/>
  <c r="AV104" i="5"/>
  <c r="AU104" i="5"/>
  <c r="AV58" i="5"/>
  <c r="AU58" i="5"/>
  <c r="AV62" i="5"/>
  <c r="AU62" i="5"/>
  <c r="AV97" i="5"/>
  <c r="AU97" i="5"/>
  <c r="AV121" i="5"/>
  <c r="AU121" i="5"/>
  <c r="AV109" i="5"/>
  <c r="AU109" i="5"/>
  <c r="AV93" i="5"/>
  <c r="AU93" i="5"/>
  <c r="AV103" i="5"/>
  <c r="AU103" i="5"/>
  <c r="AV112" i="5"/>
  <c r="AU112" i="5"/>
  <c r="AV69" i="5"/>
  <c r="AU69" i="5"/>
  <c r="AV87" i="5"/>
  <c r="AU87" i="5"/>
  <c r="AV96" i="5"/>
  <c r="AU96" i="5"/>
  <c r="AV42" i="5"/>
  <c r="AU42" i="5"/>
  <c r="AV84" i="5"/>
  <c r="AU84" i="5"/>
  <c r="AV108" i="5"/>
  <c r="AU108" i="5"/>
  <c r="AV85" i="5"/>
  <c r="AU85" i="5"/>
  <c r="AV71" i="5"/>
  <c r="AU71" i="5"/>
  <c r="AV48" i="5"/>
  <c r="AU48" i="5"/>
  <c r="AV105" i="5"/>
  <c r="AU105" i="5"/>
  <c r="AV83" i="5"/>
  <c r="AU83" i="5"/>
  <c r="AV60" i="5"/>
  <c r="AU60" i="5"/>
  <c r="AV68" i="5"/>
  <c r="AU68" i="5"/>
  <c r="AV55" i="5"/>
  <c r="AU55" i="5"/>
  <c r="AV111" i="5"/>
  <c r="AU111" i="5"/>
  <c r="AV73" i="5"/>
  <c r="AU73" i="5"/>
  <c r="AV64" i="5"/>
  <c r="AU64" i="5"/>
  <c r="AV114" i="5"/>
  <c r="AU114" i="5"/>
  <c r="AV107" i="5"/>
  <c r="AU107" i="5"/>
  <c r="AV67" i="5"/>
  <c r="AU67" i="5"/>
  <c r="AV39" i="5"/>
  <c r="AU39" i="5"/>
  <c r="AV63" i="5"/>
  <c r="AU63" i="5"/>
  <c r="AV118" i="5"/>
  <c r="AU118" i="5"/>
  <c r="AV98" i="5"/>
  <c r="AU98" i="5"/>
  <c r="AV59" i="5"/>
  <c r="AU59" i="5"/>
  <c r="AV82" i="5"/>
  <c r="AU82" i="5"/>
  <c r="AV101" i="5"/>
  <c r="AU101" i="5"/>
  <c r="AV126" i="5"/>
  <c r="AU126" i="5"/>
  <c r="AV102" i="5"/>
  <c r="AU102" i="5"/>
  <c r="AV66" i="5"/>
  <c r="AU66" i="5"/>
  <c r="AV122" i="5"/>
  <c r="AU122" i="5"/>
  <c r="AV53" i="5"/>
  <c r="AU53" i="5"/>
  <c r="AV94" i="5"/>
  <c r="AU94" i="5"/>
  <c r="AV86" i="5"/>
  <c r="AU86" i="5"/>
  <c r="AV113" i="5"/>
  <c r="AU113" i="5"/>
  <c r="AV106" i="5"/>
  <c r="AU106" i="5"/>
  <c r="AV80" i="5"/>
  <c r="AU80" i="5"/>
  <c r="AV46" i="5"/>
  <c r="AU46" i="5"/>
  <c r="AV70" i="5"/>
  <c r="AU70" i="5"/>
  <c r="AV61" i="5"/>
  <c r="AU61" i="5"/>
  <c r="AV100" i="5"/>
  <c r="AU100" i="5"/>
  <c r="AV125" i="5"/>
  <c r="AU125" i="5"/>
  <c r="Z63" i="5"/>
  <c r="AA63" i="5" s="1"/>
  <c r="M38" i="1"/>
  <c r="P42" i="5" l="1"/>
  <c r="Q42" i="5" s="1"/>
  <c r="Z42" i="5" s="1"/>
  <c r="AA42" i="5" s="1"/>
  <c r="P64" i="5"/>
  <c r="Q64" i="5" s="1"/>
  <c r="Z64" i="5" s="1"/>
  <c r="AA64" i="5" s="1"/>
  <c r="P43" i="1"/>
  <c r="Q43" i="1" s="1"/>
  <c r="Z43" i="1" s="1"/>
  <c r="AA43" i="1" s="1"/>
  <c r="P65" i="1"/>
  <c r="Q65" i="1" s="1"/>
  <c r="Z65" i="1" s="1"/>
  <c r="AA65" i="1" s="1"/>
  <c r="P50" i="1"/>
  <c r="Q50" i="1" s="1"/>
  <c r="Z50" i="1" s="1"/>
  <c r="AA50" i="1" s="1"/>
  <c r="P58" i="5"/>
  <c r="Q58" i="5" s="1"/>
  <c r="Z58" i="5" s="1"/>
  <c r="AA58" i="5" s="1"/>
  <c r="P52" i="5"/>
  <c r="Q52" i="5" s="1"/>
  <c r="Z52" i="5" s="1"/>
  <c r="AA52" i="5" s="1"/>
  <c r="P43" i="5"/>
  <c r="Q43" i="5" s="1"/>
  <c r="Z43" i="5" s="1"/>
  <c r="AA43" i="5" s="1"/>
  <c r="P47" i="5"/>
  <c r="Q47" i="5" s="1"/>
  <c r="Z47" i="5" s="1"/>
  <c r="AA47" i="5" s="1"/>
  <c r="P41" i="1"/>
  <c r="Q41" i="1" s="1"/>
  <c r="Z41" i="1" s="1"/>
  <c r="AA41" i="1" s="1"/>
  <c r="P39" i="5"/>
  <c r="Q39" i="5" s="1"/>
  <c r="Z39" i="5" s="1"/>
  <c r="AA39" i="5" s="1"/>
  <c r="P67" i="5"/>
  <c r="Q67" i="5" s="1"/>
  <c r="Z67" i="5" s="1"/>
  <c r="AA67" i="5" s="1"/>
  <c r="P55" i="5"/>
  <c r="Q55" i="5" s="1"/>
  <c r="Z55" i="5" s="1"/>
  <c r="AA55" i="5" s="1"/>
  <c r="P51" i="5"/>
  <c r="Q51" i="5" s="1"/>
  <c r="Z51" i="5" s="1"/>
  <c r="AA51" i="5" s="1"/>
  <c r="P41" i="5"/>
  <c r="Q41" i="5" s="1"/>
  <c r="Z41" i="5" s="1"/>
  <c r="AA41" i="5" s="1"/>
  <c r="P46" i="5"/>
  <c r="Q46" i="5" s="1"/>
  <c r="Z46" i="5" s="1"/>
  <c r="AA46" i="5" s="1"/>
  <c r="P66" i="5"/>
  <c r="Q66" i="5" s="1"/>
  <c r="Z66" i="5" s="1"/>
  <c r="AA66" i="5" s="1"/>
  <c r="P59" i="5"/>
  <c r="Q59" i="5" s="1"/>
  <c r="Z59" i="5" s="1"/>
  <c r="AA59" i="5" s="1"/>
  <c r="P45" i="5"/>
  <c r="Q45" i="5"/>
  <c r="Z45" i="5" s="1"/>
  <c r="AA45" i="5" s="1"/>
  <c r="P60" i="5"/>
  <c r="Q60" i="5" s="1"/>
  <c r="Z60" i="5" s="1"/>
  <c r="AA60" i="5" s="1"/>
  <c r="P39" i="1"/>
  <c r="Q39" i="1" s="1"/>
  <c r="Z39" i="1" s="1"/>
  <c r="AA39" i="1" s="1"/>
  <c r="P44" i="1"/>
  <c r="Q44" i="1" s="1"/>
  <c r="Z44" i="1" s="1"/>
  <c r="AA44" i="1" s="1"/>
  <c r="P50" i="5"/>
  <c r="Q50" i="5" s="1"/>
  <c r="Z50" i="5" s="1"/>
  <c r="AA50" i="5" s="1"/>
  <c r="P56" i="5"/>
  <c r="Q56" i="5" s="1"/>
  <c r="Z56" i="5" s="1"/>
  <c r="AA56" i="5" s="1"/>
  <c r="P61" i="5"/>
  <c r="Q61" i="5"/>
  <c r="Z61" i="5" s="1"/>
  <c r="AA61" i="5" s="1"/>
  <c r="S38" i="1"/>
  <c r="U38" i="1"/>
  <c r="V38" i="1" l="1"/>
  <c r="Z38" i="1" s="1"/>
  <c r="AA38" i="1" l="1"/>
  <c r="K26" i="1"/>
  <c r="K27" i="1" s="1"/>
  <c r="K28" i="1" s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D26" i="1" l="1"/>
  <c r="D27" i="1"/>
  <c r="D28" i="1"/>
  <c r="D29" i="1"/>
  <c r="D34" i="1"/>
  <c r="D30" i="1"/>
  <c r="D31" i="1"/>
  <c r="D32" i="1"/>
  <c r="D33" i="1"/>
  <c r="M22" i="1" l="1"/>
  <c r="L22" i="1"/>
  <c r="G22" i="1"/>
  <c r="S11" i="1" s="1"/>
  <c r="S14" i="1" s="1"/>
  <c r="D22" i="1"/>
  <c r="K22" i="1"/>
  <c r="J22" i="1"/>
  <c r="E22" i="1"/>
  <c r="U11" i="1" s="1"/>
  <c r="U14" i="1" s="1"/>
  <c r="I22" i="1"/>
  <c r="U17" i="1" s="1"/>
  <c r="F22" i="1"/>
  <c r="AT72" i="1" l="1"/>
  <c r="AU72" i="1" s="1"/>
  <c r="AT104" i="1"/>
  <c r="AU104" i="1" s="1"/>
  <c r="AT56" i="1"/>
  <c r="AU56" i="1" s="1"/>
  <c r="AV56" i="1" s="1"/>
  <c r="AT88" i="1"/>
  <c r="AU88" i="1" s="1"/>
  <c r="AT121" i="1"/>
  <c r="AU121" i="1" s="1"/>
  <c r="AV121" i="1" s="1"/>
  <c r="AT116" i="1"/>
  <c r="AU116" i="1" s="1"/>
  <c r="AV116" i="1" s="1"/>
  <c r="AT76" i="1"/>
  <c r="AU76" i="1" s="1"/>
  <c r="AV76" i="1" s="1"/>
  <c r="AT82" i="1"/>
  <c r="AU82" i="1" s="1"/>
  <c r="AV82" i="1" s="1"/>
  <c r="AT97" i="1"/>
  <c r="AU97" i="1" s="1"/>
  <c r="AV97" i="1" s="1"/>
  <c r="AT89" i="1"/>
  <c r="AU89" i="1" s="1"/>
  <c r="AV89" i="1" s="1"/>
  <c r="AT74" i="1"/>
  <c r="AU74" i="1" s="1"/>
  <c r="AV74" i="1" s="1"/>
  <c r="AT125" i="1"/>
  <c r="AU125" i="1" s="1"/>
  <c r="AV125" i="1" s="1"/>
  <c r="AT84" i="1"/>
  <c r="AU84" i="1" s="1"/>
  <c r="AV84" i="1" s="1"/>
  <c r="AT111" i="1"/>
  <c r="AU111" i="1" s="1"/>
  <c r="AV111" i="1" s="1"/>
  <c r="AT112" i="1"/>
  <c r="AU112" i="1" s="1"/>
  <c r="AV112" i="1" s="1"/>
  <c r="AT87" i="1"/>
  <c r="AU87" i="1" s="1"/>
  <c r="AV87" i="1" s="1"/>
  <c r="AT102" i="1"/>
  <c r="AU102" i="1" s="1"/>
  <c r="AT101" i="1"/>
  <c r="AU101" i="1" s="1"/>
  <c r="AT69" i="1"/>
  <c r="AU69" i="1" s="1"/>
  <c r="AV69" i="1" s="1"/>
  <c r="AT79" i="1"/>
  <c r="AU79" i="1" s="1"/>
  <c r="AV79" i="1" s="1"/>
  <c r="AT126" i="1"/>
  <c r="AU126" i="1" s="1"/>
  <c r="AV126" i="1" s="1"/>
  <c r="AT98" i="1"/>
  <c r="AU98" i="1" s="1"/>
  <c r="AV98" i="1" s="1"/>
  <c r="AT93" i="1"/>
  <c r="AU93" i="1" s="1"/>
  <c r="AV93" i="1" s="1"/>
  <c r="AT114" i="1"/>
  <c r="AU114" i="1" s="1"/>
  <c r="AV114" i="1" s="1"/>
  <c r="AT92" i="1"/>
  <c r="AU92" i="1" s="1"/>
  <c r="AV92" i="1" s="1"/>
  <c r="AT86" i="1"/>
  <c r="AU86" i="1" s="1"/>
  <c r="AV86" i="1" s="1"/>
  <c r="AT95" i="1"/>
  <c r="AU95" i="1" s="1"/>
  <c r="AV95" i="1" s="1"/>
  <c r="AT75" i="1"/>
  <c r="AU75" i="1" s="1"/>
  <c r="AV75" i="1" s="1"/>
  <c r="AT90" i="1"/>
  <c r="AU90" i="1" s="1"/>
  <c r="AV90" i="1" s="1"/>
  <c r="AT81" i="1"/>
  <c r="AU81" i="1" s="1"/>
  <c r="AV81" i="1" s="1"/>
  <c r="AT77" i="1"/>
  <c r="AU77" i="1" s="1"/>
  <c r="AV77" i="1" s="1"/>
  <c r="AT100" i="1"/>
  <c r="AU100" i="1" s="1"/>
  <c r="AV100" i="1" s="1"/>
  <c r="AT94" i="1"/>
  <c r="AU94" i="1" s="1"/>
  <c r="AT80" i="1"/>
  <c r="AU80" i="1" s="1"/>
  <c r="AT99" i="1"/>
  <c r="AU99" i="1" s="1"/>
  <c r="AV99" i="1" s="1"/>
  <c r="AT117" i="1"/>
  <c r="AU117" i="1" s="1"/>
  <c r="AV117" i="1" s="1"/>
  <c r="AT106" i="1"/>
  <c r="AU106" i="1" s="1"/>
  <c r="AV106" i="1" s="1"/>
  <c r="AT108" i="1"/>
  <c r="AU108" i="1" s="1"/>
  <c r="AV108" i="1" s="1"/>
  <c r="AT96" i="1"/>
  <c r="AU96" i="1" s="1"/>
  <c r="AV96" i="1" s="1"/>
  <c r="AT73" i="1"/>
  <c r="AU73" i="1" s="1"/>
  <c r="AV73" i="1" s="1"/>
  <c r="AT78" i="1"/>
  <c r="AU78" i="1" s="1"/>
  <c r="AV78" i="1" s="1"/>
  <c r="AT71" i="1"/>
  <c r="AU71" i="1" s="1"/>
  <c r="AV71" i="1" s="1"/>
  <c r="AT110" i="1"/>
  <c r="AU110" i="1" s="1"/>
  <c r="AV110" i="1" s="1"/>
  <c r="AT113" i="1"/>
  <c r="AU113" i="1" s="1"/>
  <c r="AV113" i="1" s="1"/>
  <c r="AT70" i="1"/>
  <c r="AU70" i="1" s="1"/>
  <c r="AV70" i="1" s="1"/>
  <c r="AT105" i="1"/>
  <c r="AU105" i="1" s="1"/>
  <c r="AV105" i="1" s="1"/>
  <c r="AT85" i="1"/>
  <c r="AU85" i="1" s="1"/>
  <c r="AV85" i="1" s="1"/>
  <c r="AT109" i="1"/>
  <c r="AU109" i="1" s="1"/>
  <c r="AV109" i="1" s="1"/>
  <c r="AT115" i="1"/>
  <c r="AU115" i="1" s="1"/>
  <c r="AT122" i="1"/>
  <c r="AU122" i="1" s="1"/>
  <c r="AT118" i="1"/>
  <c r="AU118" i="1" s="1"/>
  <c r="AV118" i="1" s="1"/>
  <c r="AT91" i="1"/>
  <c r="AU91" i="1" s="1"/>
  <c r="AV91" i="1" s="1"/>
  <c r="AT107" i="1"/>
  <c r="AU107" i="1" s="1"/>
  <c r="AV107" i="1" s="1"/>
  <c r="AT103" i="1"/>
  <c r="AU103" i="1" s="1"/>
  <c r="AV103" i="1" s="1"/>
  <c r="AT124" i="1"/>
  <c r="AU124" i="1" s="1"/>
  <c r="AV124" i="1" s="1"/>
  <c r="AT123" i="1"/>
  <c r="AU123" i="1" s="1"/>
  <c r="AV123" i="1" s="1"/>
  <c r="AT120" i="1"/>
  <c r="AU120" i="1" s="1"/>
  <c r="AV120" i="1" s="1"/>
  <c r="AT83" i="1"/>
  <c r="AU83" i="1" s="1"/>
  <c r="AV83" i="1" s="1"/>
  <c r="AT119" i="1"/>
  <c r="AU119" i="1" s="1"/>
  <c r="AV119" i="1" s="1"/>
  <c r="AT68" i="1"/>
  <c r="AU68" i="1" s="1"/>
  <c r="AV68" i="1" s="1"/>
  <c r="AT48" i="1"/>
  <c r="AU48" i="1" s="1"/>
  <c r="AV48" i="1" s="1"/>
  <c r="AT64" i="1"/>
  <c r="AU64" i="1" s="1"/>
  <c r="AV64" i="1" s="1"/>
  <c r="AT54" i="1"/>
  <c r="AU54" i="1" s="1"/>
  <c r="AV54" i="1" s="1"/>
  <c r="AT41" i="1"/>
  <c r="AU41" i="1" s="1"/>
  <c r="AV41" i="1" s="1"/>
  <c r="AT67" i="1"/>
  <c r="AU67" i="1" s="1"/>
  <c r="AV67" i="1" s="1"/>
  <c r="AT65" i="1"/>
  <c r="AU65" i="1" s="1"/>
  <c r="AT51" i="1"/>
  <c r="AU51" i="1" s="1"/>
  <c r="AV51" i="1" s="1"/>
  <c r="AT52" i="1"/>
  <c r="AU52" i="1" s="1"/>
  <c r="AV52" i="1" s="1"/>
  <c r="AT53" i="1"/>
  <c r="AU53" i="1" s="1"/>
  <c r="AV53" i="1" s="1"/>
  <c r="AT66" i="1"/>
  <c r="AU66" i="1" s="1"/>
  <c r="AV66" i="1" s="1"/>
  <c r="AT46" i="1"/>
  <c r="AU46" i="1" s="1"/>
  <c r="AV46" i="1" s="1"/>
  <c r="AT47" i="1"/>
  <c r="AU47" i="1" s="1"/>
  <c r="AV47" i="1" s="1"/>
  <c r="AT43" i="1"/>
  <c r="AU43" i="1" s="1"/>
  <c r="AV43" i="1" s="1"/>
  <c r="AT50" i="1"/>
  <c r="AU50" i="1" s="1"/>
  <c r="AV50" i="1" s="1"/>
  <c r="AT39" i="1"/>
  <c r="AU39" i="1" s="1"/>
  <c r="AV39" i="1" s="1"/>
  <c r="AT40" i="1"/>
  <c r="AU40" i="1" s="1"/>
  <c r="AV40" i="1" s="1"/>
  <c r="AT61" i="1"/>
  <c r="AU61" i="1" s="1"/>
  <c r="AV61" i="1" s="1"/>
  <c r="AT49" i="1"/>
  <c r="AU49" i="1" s="1"/>
  <c r="AV49" i="1" s="1"/>
  <c r="AT44" i="1"/>
  <c r="AU44" i="1" s="1"/>
  <c r="AV44" i="1" s="1"/>
  <c r="AT45" i="1"/>
  <c r="AU45" i="1" s="1"/>
  <c r="AV45" i="1" s="1"/>
  <c r="AT62" i="1"/>
  <c r="AU62" i="1" s="1"/>
  <c r="AV62" i="1" s="1"/>
  <c r="AT60" i="1"/>
  <c r="AU60" i="1" s="1"/>
  <c r="AT59" i="1"/>
  <c r="AU59" i="1" s="1"/>
  <c r="AV59" i="1" s="1"/>
  <c r="AT42" i="1"/>
  <c r="AU42" i="1" s="1"/>
  <c r="AV42" i="1" s="1"/>
  <c r="AT38" i="1"/>
  <c r="AU38" i="1" s="1"/>
  <c r="AV38" i="1" s="1"/>
  <c r="AT57" i="1"/>
  <c r="AU57" i="1" s="1"/>
  <c r="AV57" i="1" s="1"/>
  <c r="AT58" i="1"/>
  <c r="AU58" i="1" s="1"/>
  <c r="AV58" i="1" s="1"/>
  <c r="AT55" i="1"/>
  <c r="AU55" i="1" s="1"/>
  <c r="AV55" i="1" s="1"/>
  <c r="AT63" i="1"/>
  <c r="AU63" i="1" s="1"/>
  <c r="AV63" i="1" s="1"/>
  <c r="AD52" i="1"/>
  <c r="AD68" i="1"/>
  <c r="AD84" i="1"/>
  <c r="AD100" i="1"/>
  <c r="AD116" i="1"/>
  <c r="AD107" i="1"/>
  <c r="AD92" i="1"/>
  <c r="AD125" i="1"/>
  <c r="AD110" i="1"/>
  <c r="AD79" i="1"/>
  <c r="AV72" i="1"/>
  <c r="AV88" i="1"/>
  <c r="AV104" i="1"/>
  <c r="AD53" i="1"/>
  <c r="AD69" i="1"/>
  <c r="AD85" i="1"/>
  <c r="AD101" i="1"/>
  <c r="AD117" i="1"/>
  <c r="AD60" i="1"/>
  <c r="AV80" i="1"/>
  <c r="AD94" i="1"/>
  <c r="AD111" i="1"/>
  <c r="AD80" i="1"/>
  <c r="AD81" i="1"/>
  <c r="AD114" i="1"/>
  <c r="AD99" i="1"/>
  <c r="AD54" i="1"/>
  <c r="AD70" i="1"/>
  <c r="AD86" i="1"/>
  <c r="AD102" i="1"/>
  <c r="AD118" i="1"/>
  <c r="AV94" i="1"/>
  <c r="AD75" i="1"/>
  <c r="AD44" i="1"/>
  <c r="AD77" i="1"/>
  <c r="AD63" i="1"/>
  <c r="AV115" i="1"/>
  <c r="AD48" i="1"/>
  <c r="AD65" i="1"/>
  <c r="AD51" i="1"/>
  <c r="AV122" i="1"/>
  <c r="W80" i="1"/>
  <c r="AD39" i="1"/>
  <c r="AD55" i="1"/>
  <c r="AD71" i="1"/>
  <c r="AD87" i="1"/>
  <c r="AD103" i="1"/>
  <c r="AD119" i="1"/>
  <c r="AD76" i="1"/>
  <c r="AD61" i="1"/>
  <c r="AD78" i="1"/>
  <c r="AD47" i="1"/>
  <c r="AD82" i="1"/>
  <c r="AD67" i="1"/>
  <c r="AD40" i="1"/>
  <c r="AD56" i="1"/>
  <c r="AD72" i="1"/>
  <c r="AD88" i="1"/>
  <c r="AD104" i="1"/>
  <c r="AD120" i="1"/>
  <c r="AD91" i="1"/>
  <c r="AD124" i="1"/>
  <c r="AD93" i="1"/>
  <c r="AD126" i="1"/>
  <c r="AD64" i="1"/>
  <c r="AD98" i="1"/>
  <c r="AV60" i="1"/>
  <c r="AD41" i="1"/>
  <c r="AD57" i="1"/>
  <c r="AD73" i="1"/>
  <c r="AD89" i="1"/>
  <c r="AD105" i="1"/>
  <c r="AD121" i="1"/>
  <c r="AD59" i="1"/>
  <c r="AD123" i="1"/>
  <c r="AD45" i="1"/>
  <c r="AD46" i="1"/>
  <c r="AD95" i="1"/>
  <c r="AD112" i="1"/>
  <c r="AD113" i="1"/>
  <c r="AD66" i="1"/>
  <c r="AV102" i="1"/>
  <c r="AD83" i="1"/>
  <c r="AD42" i="1"/>
  <c r="AD58" i="1"/>
  <c r="AD74" i="1"/>
  <c r="AD90" i="1"/>
  <c r="AD106" i="1"/>
  <c r="AD122" i="1"/>
  <c r="AD43" i="1"/>
  <c r="AD108" i="1"/>
  <c r="AD109" i="1"/>
  <c r="AV65" i="1"/>
  <c r="AD62" i="1"/>
  <c r="AD38" i="1"/>
  <c r="AD96" i="1"/>
  <c r="W122" i="1"/>
  <c r="AD49" i="1"/>
  <c r="AD97" i="1"/>
  <c r="AV101" i="1"/>
  <c r="AD50" i="1"/>
  <c r="AD115" i="1"/>
  <c r="X101" i="1"/>
  <c r="U20" i="1"/>
  <c r="U26" i="1" s="1"/>
  <c r="W106" i="1" l="1"/>
  <c r="Y38" i="1"/>
  <c r="W42" i="1"/>
  <c r="X82" i="1"/>
  <c r="W96" i="1"/>
  <c r="X69" i="1"/>
  <c r="W88" i="1"/>
  <c r="Y58" i="1"/>
  <c r="Y110" i="1"/>
  <c r="X78" i="1"/>
  <c r="Y95" i="1"/>
  <c r="Y75" i="1"/>
  <c r="Y74" i="1"/>
  <c r="W113" i="1"/>
  <c r="W55" i="1"/>
  <c r="W48" i="1"/>
  <c r="Y85" i="1"/>
  <c r="X49" i="1"/>
  <c r="W120" i="1"/>
  <c r="W95" i="1"/>
  <c r="X75" i="1"/>
  <c r="W97" i="1"/>
  <c r="W81" i="1"/>
  <c r="W53" i="1"/>
  <c r="W47" i="1"/>
  <c r="X68" i="1"/>
  <c r="X95" i="1"/>
  <c r="X104" i="1"/>
  <c r="X91" i="1"/>
  <c r="Y53" i="1"/>
  <c r="Y91" i="1"/>
  <c r="Y71" i="1"/>
  <c r="Y87" i="1"/>
  <c r="Y55" i="1"/>
  <c r="Y89" i="1"/>
  <c r="Y106" i="1"/>
  <c r="Y105" i="1"/>
  <c r="X105" i="1"/>
  <c r="X111" i="1"/>
  <c r="Y49" i="1"/>
  <c r="X39" i="1"/>
  <c r="X84" i="1"/>
  <c r="X122" i="1"/>
  <c r="Y124" i="1"/>
  <c r="X44" i="1"/>
  <c r="X53" i="1"/>
  <c r="Y98" i="1"/>
  <c r="X62" i="1"/>
  <c r="Y62" i="1"/>
  <c r="Y107" i="1"/>
  <c r="Y61" i="1"/>
  <c r="X55" i="1"/>
  <c r="Y104" i="1"/>
  <c r="Y39" i="1"/>
  <c r="Y111" i="1"/>
  <c r="X48" i="1"/>
  <c r="Y122" i="1"/>
  <c r="Y48" i="1"/>
  <c r="X81" i="1"/>
  <c r="Y81" i="1"/>
  <c r="X100" i="1"/>
  <c r="W39" i="1"/>
  <c r="W57" i="1"/>
  <c r="W114" i="1"/>
  <c r="W41" i="1"/>
  <c r="W98" i="1"/>
  <c r="W109" i="1"/>
  <c r="W52" i="1"/>
  <c r="W45" i="1"/>
  <c r="W51" i="1"/>
  <c r="W83" i="1"/>
  <c r="W104" i="1"/>
  <c r="W94" i="1"/>
  <c r="W74" i="1"/>
  <c r="W58" i="1"/>
  <c r="Y113" i="1"/>
  <c r="W44" i="1"/>
  <c r="W117" i="1"/>
  <c r="Y44" i="1"/>
  <c r="X74" i="1"/>
  <c r="W65" i="1"/>
  <c r="W71" i="1"/>
  <c r="W69" i="1"/>
  <c r="X89" i="1"/>
  <c r="X43" i="1"/>
  <c r="W43" i="1"/>
  <c r="X38" i="1"/>
  <c r="AK126" i="1"/>
  <c r="Y66" i="1"/>
  <c r="AK108" i="1"/>
  <c r="AK112" i="1"/>
  <c r="AK80" i="1"/>
  <c r="AK64" i="1"/>
  <c r="AK105" i="1"/>
  <c r="W84" i="1"/>
  <c r="W40" i="1"/>
  <c r="W46" i="1"/>
  <c r="W118" i="1"/>
  <c r="W101" i="1"/>
  <c r="Y45" i="1"/>
  <c r="X51" i="1"/>
  <c r="X117" i="1"/>
  <c r="AK38" i="1"/>
  <c r="AK49" i="1"/>
  <c r="AK55" i="1"/>
  <c r="AK48" i="1"/>
  <c r="W62" i="1"/>
  <c r="W90" i="1"/>
  <c r="W100" i="1"/>
  <c r="W125" i="1"/>
  <c r="W102" i="1"/>
  <c r="W85" i="1"/>
  <c r="AK110" i="1"/>
  <c r="AK123" i="1"/>
  <c r="AK94" i="1"/>
  <c r="AK116" i="1"/>
  <c r="W72" i="1"/>
  <c r="AK106" i="1"/>
  <c r="AK89" i="1"/>
  <c r="W86" i="1"/>
  <c r="X99" i="1"/>
  <c r="AK122" i="1"/>
  <c r="AK111" i="1"/>
  <c r="W76" i="1"/>
  <c r="W49" i="1"/>
  <c r="W50" i="1"/>
  <c r="W124" i="1"/>
  <c r="W54" i="1"/>
  <c r="AK82" i="1"/>
  <c r="AK43" i="1"/>
  <c r="X115" i="1"/>
  <c r="AK42" i="1"/>
  <c r="AK103" i="1"/>
  <c r="Y70" i="1"/>
  <c r="AK97" i="1"/>
  <c r="AK81" i="1"/>
  <c r="W56" i="1"/>
  <c r="AK107" i="1"/>
  <c r="AK65" i="1"/>
  <c r="X46" i="1"/>
  <c r="W110" i="1"/>
  <c r="W66" i="1"/>
  <c r="Y72" i="1"/>
  <c r="X94" i="1"/>
  <c r="AK58" i="1"/>
  <c r="AK104" i="1"/>
  <c r="AK91" i="1"/>
  <c r="AK53" i="1"/>
  <c r="AK39" i="1"/>
  <c r="AK95" i="1"/>
  <c r="AK74" i="1"/>
  <c r="W123" i="1"/>
  <c r="W92" i="1"/>
  <c r="W64" i="1"/>
  <c r="Y125" i="1"/>
  <c r="AK40" i="1"/>
  <c r="W126" i="1"/>
  <c r="X60" i="1"/>
  <c r="AK113" i="1"/>
  <c r="AK78" i="1"/>
  <c r="W60" i="1"/>
  <c r="X83" i="1"/>
  <c r="Y108" i="1"/>
  <c r="X67" i="1"/>
  <c r="X86" i="1"/>
  <c r="X80" i="1"/>
  <c r="X118" i="1"/>
  <c r="AK59" i="1"/>
  <c r="AK79" i="1"/>
  <c r="W107" i="1"/>
  <c r="W111" i="1"/>
  <c r="W121" i="1"/>
  <c r="W38" i="1"/>
  <c r="W116" i="1"/>
  <c r="AK56" i="1"/>
  <c r="AK90" i="1"/>
  <c r="AK119" i="1"/>
  <c r="Y119" i="1"/>
  <c r="AK88" i="1"/>
  <c r="Y78" i="1"/>
  <c r="Y46" i="1"/>
  <c r="X97" i="1"/>
  <c r="X88" i="1"/>
  <c r="AK63" i="1"/>
  <c r="AK120" i="1"/>
  <c r="W91" i="1"/>
  <c r="W78" i="1"/>
  <c r="W105" i="1"/>
  <c r="W67" i="1"/>
  <c r="W119" i="1"/>
  <c r="W63" i="1"/>
  <c r="AK85" i="1"/>
  <c r="AK60" i="1"/>
  <c r="AK41" i="1"/>
  <c r="W77" i="1"/>
  <c r="Y93" i="1"/>
  <c r="W112" i="1"/>
  <c r="AK75" i="1"/>
  <c r="W115" i="1"/>
  <c r="W61" i="1"/>
  <c r="W93" i="1"/>
  <c r="W70" i="1"/>
  <c r="Y54" i="1"/>
  <c r="Y80" i="1"/>
  <c r="Y88" i="1"/>
  <c r="X58" i="1"/>
  <c r="AK73" i="1"/>
  <c r="AK124" i="1"/>
  <c r="AK71" i="1"/>
  <c r="AK114" i="1"/>
  <c r="AK47" i="1"/>
  <c r="AK121" i="1"/>
  <c r="W68" i="1"/>
  <c r="W75" i="1"/>
  <c r="W89" i="1"/>
  <c r="W103" i="1"/>
  <c r="AK87" i="1"/>
  <c r="AK72" i="1"/>
  <c r="W108" i="1"/>
  <c r="Y60" i="1"/>
  <c r="AK96" i="1"/>
  <c r="AK62" i="1"/>
  <c r="W99" i="1"/>
  <c r="Y96" i="1"/>
  <c r="AK46" i="1"/>
  <c r="X42" i="1"/>
  <c r="Y112" i="1"/>
  <c r="X119" i="1"/>
  <c r="X106" i="1"/>
  <c r="AK76" i="1"/>
  <c r="AK44" i="1"/>
  <c r="AK92" i="1"/>
  <c r="AK57" i="1"/>
  <c r="W59" i="1"/>
  <c r="W73" i="1"/>
  <c r="W82" i="1"/>
  <c r="W87" i="1"/>
  <c r="W79" i="1"/>
  <c r="Y102" i="1"/>
  <c r="AK102" i="1"/>
  <c r="X102" i="1"/>
  <c r="Y73" i="1"/>
  <c r="Y86" i="1"/>
  <c r="AK86" i="1"/>
  <c r="X93" i="1"/>
  <c r="AK93" i="1"/>
  <c r="X126" i="1"/>
  <c r="X112" i="1"/>
  <c r="X61" i="1"/>
  <c r="AK61" i="1"/>
  <c r="Y103" i="1"/>
  <c r="Y56" i="1"/>
  <c r="Y43" i="1"/>
  <c r="X52" i="1"/>
  <c r="X110" i="1"/>
  <c r="X40" i="1"/>
  <c r="Y67" i="1"/>
  <c r="AK67" i="1"/>
  <c r="X45" i="1"/>
  <c r="AK45" i="1"/>
  <c r="X98" i="1"/>
  <c r="AK98" i="1"/>
  <c r="X125" i="1"/>
  <c r="AK125" i="1"/>
  <c r="X57" i="1"/>
  <c r="Y82" i="1"/>
  <c r="X76" i="1"/>
  <c r="Y59" i="1"/>
  <c r="Y121" i="1"/>
  <c r="Y90" i="1"/>
  <c r="Y41" i="1"/>
  <c r="X113" i="1"/>
  <c r="X41" i="1"/>
  <c r="X124" i="1"/>
  <c r="X47" i="1"/>
  <c r="Y63" i="1"/>
  <c r="X109" i="1"/>
  <c r="AK109" i="1"/>
  <c r="Y115" i="1"/>
  <c r="AK115" i="1"/>
  <c r="X77" i="1"/>
  <c r="AK77" i="1"/>
  <c r="Y79" i="1"/>
  <c r="Y42" i="1"/>
  <c r="Y51" i="1"/>
  <c r="AK51" i="1"/>
  <c r="Y118" i="1"/>
  <c r="AK118" i="1"/>
  <c r="Y97" i="1"/>
  <c r="Y65" i="1"/>
  <c r="Y114" i="1"/>
  <c r="X108" i="1"/>
  <c r="X90" i="1"/>
  <c r="X107" i="1"/>
  <c r="Y101" i="1"/>
  <c r="AK101" i="1"/>
  <c r="Y47" i="1"/>
  <c r="Y99" i="1"/>
  <c r="AK99" i="1"/>
  <c r="Y83" i="1"/>
  <c r="AK83" i="1"/>
  <c r="Y92" i="1"/>
  <c r="X72" i="1"/>
  <c r="Y100" i="1"/>
  <c r="AK100" i="1"/>
  <c r="Y77" i="1"/>
  <c r="Y64" i="1"/>
  <c r="Y94" i="1"/>
  <c r="X65" i="1"/>
  <c r="X56" i="1"/>
  <c r="X59" i="1"/>
  <c r="Y69" i="1"/>
  <c r="AK69" i="1"/>
  <c r="Y84" i="1"/>
  <c r="AK84" i="1"/>
  <c r="Y52" i="1"/>
  <c r="AK52" i="1"/>
  <c r="X79" i="1"/>
  <c r="X70" i="1"/>
  <c r="AK70" i="1"/>
  <c r="Y123" i="1"/>
  <c r="X103" i="1"/>
  <c r="X54" i="1"/>
  <c r="AK54" i="1"/>
  <c r="Y116" i="1"/>
  <c r="Y57" i="1"/>
  <c r="Y126" i="1"/>
  <c r="X64" i="1"/>
  <c r="X85" i="1"/>
  <c r="X92" i="1"/>
  <c r="X73" i="1"/>
  <c r="X121" i="1"/>
  <c r="Y68" i="1"/>
  <c r="AK68" i="1"/>
  <c r="X120" i="1"/>
  <c r="X66" i="1"/>
  <c r="AK66" i="1"/>
  <c r="Y120" i="1"/>
  <c r="X71" i="1"/>
  <c r="X50" i="1"/>
  <c r="AK50" i="1"/>
  <c r="Y109" i="1"/>
  <c r="X63" i="1"/>
  <c r="Y76" i="1"/>
  <c r="X96" i="1"/>
  <c r="Y117" i="1"/>
  <c r="AK117" i="1"/>
  <c r="Y40" i="1"/>
  <c r="Y50" i="1"/>
  <c r="X116" i="1"/>
  <c r="X114" i="1"/>
  <c r="X123" i="1"/>
  <c r="X87" i="1"/>
  <c r="AG63" i="1"/>
  <c r="AG126" i="1"/>
  <c r="AG80" i="1"/>
  <c r="AG69" i="1"/>
  <c r="AG95" i="1"/>
  <c r="AG118" i="1"/>
  <c r="AG91" i="1"/>
  <c r="AG66" i="1"/>
  <c r="AG85" i="1"/>
  <c r="AG122" i="1"/>
  <c r="AG52" i="1"/>
  <c r="AG49" i="1"/>
  <c r="AG47" i="1"/>
  <c r="AG48" i="1"/>
  <c r="AG42" i="1"/>
  <c r="AG106" i="1"/>
  <c r="AG108" i="1"/>
  <c r="AG55" i="1"/>
  <c r="AG41" i="1"/>
  <c r="AG103" i="1"/>
  <c r="AG96" i="1"/>
  <c r="AG65" i="1"/>
  <c r="AG116" i="1"/>
  <c r="AG51" i="1"/>
  <c r="AG78" i="1"/>
  <c r="AG40" i="1"/>
  <c r="AG43" i="1"/>
  <c r="AG83" i="1"/>
  <c r="AG64" i="1"/>
  <c r="AG99" i="1"/>
  <c r="AG50" i="1"/>
  <c r="AG62" i="1"/>
  <c r="AG93" i="1"/>
  <c r="AG100" i="1"/>
  <c r="AG113" i="1"/>
  <c r="AC54" i="1"/>
  <c r="AF54" i="1" s="1"/>
  <c r="AC84" i="1"/>
  <c r="AF84" i="1" s="1"/>
  <c r="AC120" i="1"/>
  <c r="AF120" i="1" s="1"/>
  <c r="AC75" i="1"/>
  <c r="AF75" i="1" s="1"/>
  <c r="AG81" i="1"/>
  <c r="AG44" i="1"/>
  <c r="AC62" i="1"/>
  <c r="AF62" i="1" s="1"/>
  <c r="AG67" i="1"/>
  <c r="AG98" i="1"/>
  <c r="AC96" i="1"/>
  <c r="AF96" i="1" s="1"/>
  <c r="AG110" i="1"/>
  <c r="AG70" i="1"/>
  <c r="AC113" i="1"/>
  <c r="AF113" i="1" s="1"/>
  <c r="AG92" i="1"/>
  <c r="AG109" i="1"/>
  <c r="AC73" i="1"/>
  <c r="AF73" i="1" s="1"/>
  <c r="AC121" i="1"/>
  <c r="AF121" i="1" s="1"/>
  <c r="AC100" i="1"/>
  <c r="AF100" i="1" s="1"/>
  <c r="AC93" i="1"/>
  <c r="AF93" i="1" s="1"/>
  <c r="AC119" i="1"/>
  <c r="AF119" i="1" s="1"/>
  <c r="AC106" i="1"/>
  <c r="AF106" i="1" s="1"/>
  <c r="AC87" i="1"/>
  <c r="AF87" i="1" s="1"/>
  <c r="AC95" i="1"/>
  <c r="AF95" i="1" s="1"/>
  <c r="AC53" i="1"/>
  <c r="AF53" i="1" s="1"/>
  <c r="AC86" i="1"/>
  <c r="AF86" i="1" s="1"/>
  <c r="AC83" i="1"/>
  <c r="AF83" i="1" s="1"/>
  <c r="AG107" i="1"/>
  <c r="AC110" i="1"/>
  <c r="AF110" i="1" s="1"/>
  <c r="AC70" i="1"/>
  <c r="AF70" i="1" s="1"/>
  <c r="AC123" i="1"/>
  <c r="AF123" i="1" s="1"/>
  <c r="AG77" i="1"/>
  <c r="AC41" i="1"/>
  <c r="AF41" i="1" s="1"/>
  <c r="AC71" i="1"/>
  <c r="AF71" i="1" s="1"/>
  <c r="AG114" i="1"/>
  <c r="AC112" i="1"/>
  <c r="AF112" i="1" s="1"/>
  <c r="AG60" i="1"/>
  <c r="AC92" i="1"/>
  <c r="AF92" i="1" s="1"/>
  <c r="AC125" i="1"/>
  <c r="AF125" i="1" s="1"/>
  <c r="AC101" i="1"/>
  <c r="AF101" i="1" s="1"/>
  <c r="AC108" i="1"/>
  <c r="AF108" i="1" s="1"/>
  <c r="AG74" i="1"/>
  <c r="AC77" i="1"/>
  <c r="AF77" i="1" s="1"/>
  <c r="AC57" i="1"/>
  <c r="AF57" i="1" s="1"/>
  <c r="AC55" i="1"/>
  <c r="AF55" i="1" s="1"/>
  <c r="AC107" i="1"/>
  <c r="AF107" i="1" s="1"/>
  <c r="AG61" i="1"/>
  <c r="AC40" i="1"/>
  <c r="AF40" i="1" s="1"/>
  <c r="AC49" i="1"/>
  <c r="AF49" i="1" s="1"/>
  <c r="AG105" i="1"/>
  <c r="AC98" i="1"/>
  <c r="AF98" i="1" s="1"/>
  <c r="AC78" i="1"/>
  <c r="AF78" i="1" s="1"/>
  <c r="AG117" i="1"/>
  <c r="AG124" i="1"/>
  <c r="AC116" i="1"/>
  <c r="AF116" i="1" s="1"/>
  <c r="AG71" i="1"/>
  <c r="AC51" i="1"/>
  <c r="AF51" i="1" s="1"/>
  <c r="AG115" i="1"/>
  <c r="AC115" i="1"/>
  <c r="AF115" i="1" s="1"/>
  <c r="AC43" i="1"/>
  <c r="AF43" i="1" s="1"/>
  <c r="AG53" i="1"/>
  <c r="AG58" i="1"/>
  <c r="AC52" i="1"/>
  <c r="AF52" i="1" s="1"/>
  <c r="AG56" i="1"/>
  <c r="AC50" i="1"/>
  <c r="AF50" i="1" s="1"/>
  <c r="AG72" i="1"/>
  <c r="AC72" i="1"/>
  <c r="AF72" i="1" s="1"/>
  <c r="AC99" i="1"/>
  <c r="AF99" i="1" s="1"/>
  <c r="AC118" i="1"/>
  <c r="AF118" i="1" s="1"/>
  <c r="AG123" i="1"/>
  <c r="AG111" i="1"/>
  <c r="AG94" i="1"/>
  <c r="AG90" i="1"/>
  <c r="AG75" i="1"/>
  <c r="AC42" i="1"/>
  <c r="AF42" i="1" s="1"/>
  <c r="AG46" i="1"/>
  <c r="AC39" i="1"/>
  <c r="AF39" i="1" s="1"/>
  <c r="AC124" i="1"/>
  <c r="AF124" i="1" s="1"/>
  <c r="AC48" i="1"/>
  <c r="AF48" i="1" s="1"/>
  <c r="AC58" i="1"/>
  <c r="AF58" i="1" s="1"/>
  <c r="AC66" i="1"/>
  <c r="AF66" i="1" s="1"/>
  <c r="AG45" i="1"/>
  <c r="AC103" i="1"/>
  <c r="AF103" i="1" s="1"/>
  <c r="AG79" i="1"/>
  <c r="AG102" i="1"/>
  <c r="AC80" i="1"/>
  <c r="AF80" i="1" s="1"/>
  <c r="AC126" i="1"/>
  <c r="AF126" i="1" s="1"/>
  <c r="AG101" i="1"/>
  <c r="AC46" i="1"/>
  <c r="AF46" i="1" s="1"/>
  <c r="AC97" i="1"/>
  <c r="AF97" i="1" s="1"/>
  <c r="AC114" i="1"/>
  <c r="AF114" i="1" s="1"/>
  <c r="AG73" i="1"/>
  <c r="AG86" i="1"/>
  <c r="AC56" i="1"/>
  <c r="AF56" i="1" s="1"/>
  <c r="AG59" i="1"/>
  <c r="AC89" i="1"/>
  <c r="AF89" i="1" s="1"/>
  <c r="AG97" i="1"/>
  <c r="AG87" i="1"/>
  <c r="AG120" i="1"/>
  <c r="AC85" i="1"/>
  <c r="AF85" i="1" s="1"/>
  <c r="AC76" i="1"/>
  <c r="AF76" i="1" s="1"/>
  <c r="AC67" i="1"/>
  <c r="AF67" i="1" s="1"/>
  <c r="AC79" i="1"/>
  <c r="AF79" i="1" s="1"/>
  <c r="AC109" i="1"/>
  <c r="AF109" i="1" s="1"/>
  <c r="AG121" i="1"/>
  <c r="AG104" i="1"/>
  <c r="AC104" i="1"/>
  <c r="AF104" i="1" s="1"/>
  <c r="AG84" i="1"/>
  <c r="AC74" i="1"/>
  <c r="AF74" i="1" s="1"/>
  <c r="AC44" i="1"/>
  <c r="AF44" i="1" s="1"/>
  <c r="AC65" i="1"/>
  <c r="AF65" i="1" s="1"/>
  <c r="AC59" i="1"/>
  <c r="AF59" i="1" s="1"/>
  <c r="AC64" i="1"/>
  <c r="AF64" i="1" s="1"/>
  <c r="AC47" i="1"/>
  <c r="AF47" i="1" s="1"/>
  <c r="AG39" i="1"/>
  <c r="AC102" i="1"/>
  <c r="AF102" i="1" s="1"/>
  <c r="AG119" i="1"/>
  <c r="AG88" i="1"/>
  <c r="AC88" i="1"/>
  <c r="AF88" i="1" s="1"/>
  <c r="AC111" i="1"/>
  <c r="AF111" i="1" s="1"/>
  <c r="AG82" i="1"/>
  <c r="AC82" i="1"/>
  <c r="AF82" i="1" s="1"/>
  <c r="AC90" i="1"/>
  <c r="AF90" i="1" s="1"/>
  <c r="AG76" i="1"/>
  <c r="AC91" i="1"/>
  <c r="AF91" i="1" s="1"/>
  <c r="AC60" i="1"/>
  <c r="AF60" i="1" s="1"/>
  <c r="AG54" i="1"/>
  <c r="AC105" i="1"/>
  <c r="AF105" i="1" s="1"/>
  <c r="AC117" i="1"/>
  <c r="AF117" i="1" s="1"/>
  <c r="AC69" i="1"/>
  <c r="AF69" i="1" s="1"/>
  <c r="AC68" i="1"/>
  <c r="AF68" i="1" s="1"/>
  <c r="AC45" i="1"/>
  <c r="AF45" i="1" s="1"/>
  <c r="AC81" i="1"/>
  <c r="AF81" i="1" s="1"/>
  <c r="AC61" i="1"/>
  <c r="AF61" i="1" s="1"/>
  <c r="AC63" i="1"/>
  <c r="AF63" i="1" s="1"/>
  <c r="AG57" i="1"/>
  <c r="AG112" i="1"/>
  <c r="AG125" i="1"/>
  <c r="AC122" i="1"/>
  <c r="AF122" i="1" s="1"/>
  <c r="AC94" i="1"/>
  <c r="AF94" i="1" s="1"/>
  <c r="AG68" i="1"/>
  <c r="AG89" i="1"/>
  <c r="AC38" i="1"/>
  <c r="AF38" i="1" s="1"/>
  <c r="AG38" i="1"/>
  <c r="U32" i="1"/>
  <c r="AH39" i="5" l="1"/>
  <c r="AI39" i="5" s="1"/>
  <c r="AH48" i="5"/>
  <c r="AI48" i="5" s="1"/>
  <c r="AH91" i="5"/>
  <c r="AI91" i="5" s="1"/>
  <c r="AH58" i="5"/>
  <c r="AI58" i="5" s="1"/>
  <c r="AH53" i="5"/>
  <c r="AI53" i="5" s="1"/>
  <c r="AH94" i="5"/>
  <c r="AI94" i="5" s="1"/>
  <c r="AH104" i="5"/>
  <c r="AI104" i="5" s="1"/>
  <c r="AH105" i="5"/>
  <c r="AI105" i="5" s="1"/>
  <c r="AH95" i="1"/>
  <c r="AI95" i="1" s="1"/>
  <c r="AJ95" i="1" s="1"/>
  <c r="AH42" i="5"/>
  <c r="AI42" i="5" s="1"/>
  <c r="AH63" i="5"/>
  <c r="AI63" i="5" s="1"/>
  <c r="AH69" i="5"/>
  <c r="AI69" i="5" s="1"/>
  <c r="AH43" i="5"/>
  <c r="AI43" i="5" s="1"/>
  <c r="AH76" i="5"/>
  <c r="AI76" i="5" s="1"/>
  <c r="AH116" i="5"/>
  <c r="AI116" i="5" s="1"/>
  <c r="AH100" i="5"/>
  <c r="AI100" i="5" s="1"/>
  <c r="AH91" i="1"/>
  <c r="AI91" i="1" s="1"/>
  <c r="AJ91" i="1" s="1"/>
  <c r="AH47" i="5"/>
  <c r="AI47" i="5" s="1"/>
  <c r="AH111" i="5"/>
  <c r="AI111" i="5" s="1"/>
  <c r="AH107" i="5"/>
  <c r="AI107" i="5" s="1"/>
  <c r="AH63" i="1"/>
  <c r="AI63" i="1" s="1"/>
  <c r="AJ63" i="1" s="1"/>
  <c r="AH71" i="5"/>
  <c r="AI71" i="5" s="1"/>
  <c r="AH90" i="5"/>
  <c r="AI90" i="5" s="1"/>
  <c r="AH82" i="5"/>
  <c r="AI82" i="5" s="1"/>
  <c r="AH54" i="5"/>
  <c r="AI54" i="5" s="1"/>
  <c r="AH79" i="5"/>
  <c r="AI79" i="5" s="1"/>
  <c r="AH119" i="5"/>
  <c r="AI119" i="5" s="1"/>
  <c r="AH83" i="5"/>
  <c r="AI83" i="5" s="1"/>
  <c r="AH45" i="5"/>
  <c r="AI45" i="5" s="1"/>
  <c r="AH88" i="5"/>
  <c r="AI88" i="5" s="1"/>
  <c r="AH61" i="5"/>
  <c r="AI61" i="5" s="1"/>
  <c r="AH113" i="5"/>
  <c r="AI113" i="5" s="1"/>
  <c r="AH72" i="5"/>
  <c r="AI72" i="5" s="1"/>
  <c r="AH60" i="5"/>
  <c r="AI60" i="5" s="1"/>
  <c r="AH64" i="5"/>
  <c r="AI64" i="5" s="1"/>
  <c r="AH87" i="5"/>
  <c r="AI87" i="5" s="1"/>
  <c r="AH89" i="5"/>
  <c r="AI89" i="5" s="1"/>
  <c r="AH62" i="5"/>
  <c r="AI62" i="5" s="1"/>
  <c r="AH115" i="5"/>
  <c r="AI115" i="5" s="1"/>
  <c r="AH120" i="5"/>
  <c r="AI120" i="5" s="1"/>
  <c r="AH66" i="5"/>
  <c r="AI66" i="5" s="1"/>
  <c r="AH103" i="5"/>
  <c r="AI103" i="5" s="1"/>
  <c r="AH57" i="5"/>
  <c r="AI57" i="5" s="1"/>
  <c r="AH68" i="5"/>
  <c r="AI68" i="5" s="1"/>
  <c r="AH77" i="5"/>
  <c r="AI77" i="5" s="1"/>
  <c r="AH126" i="1"/>
  <c r="AI126" i="1" s="1"/>
  <c r="AJ126" i="1" s="1"/>
  <c r="AH78" i="5"/>
  <c r="AI78" i="5" s="1"/>
  <c r="AH108" i="5"/>
  <c r="AI108" i="5" s="1"/>
  <c r="AH80" i="5"/>
  <c r="AI80" i="5" s="1"/>
  <c r="AH125" i="5"/>
  <c r="AI125" i="5" s="1"/>
  <c r="AH56" i="5"/>
  <c r="AI56" i="5" s="1"/>
  <c r="AH99" i="5"/>
  <c r="AI99" i="5" s="1"/>
  <c r="AH92" i="5"/>
  <c r="AI92" i="5" s="1"/>
  <c r="AH84" i="5"/>
  <c r="AI84" i="5" s="1"/>
  <c r="AH41" i="5"/>
  <c r="AI41" i="5" s="1"/>
  <c r="AH73" i="5"/>
  <c r="AI73" i="5" s="1"/>
  <c r="AH67" i="5"/>
  <c r="AI67" i="5" s="1"/>
  <c r="AH102" i="5"/>
  <c r="AI102" i="5" s="1"/>
  <c r="AH55" i="5"/>
  <c r="AI55" i="5" s="1"/>
  <c r="AH112" i="5"/>
  <c r="AI112" i="5" s="1"/>
  <c r="AH59" i="5"/>
  <c r="AI59" i="5" s="1"/>
  <c r="AH81" i="5"/>
  <c r="AI81" i="5" s="1"/>
  <c r="AH85" i="5"/>
  <c r="AI85" i="5" s="1"/>
  <c r="AH50" i="5"/>
  <c r="AI50" i="5" s="1"/>
  <c r="AH51" i="5"/>
  <c r="AI51" i="5" s="1"/>
  <c r="AH70" i="5"/>
  <c r="AI70" i="5" s="1"/>
  <c r="AH93" i="5"/>
  <c r="AI93" i="5" s="1"/>
  <c r="AH122" i="1"/>
  <c r="AI122" i="1" s="1"/>
  <c r="AJ122" i="1" s="1"/>
  <c r="AH117" i="5"/>
  <c r="AI117" i="5" s="1"/>
  <c r="AH86" i="5"/>
  <c r="AI86" i="5" s="1"/>
  <c r="AH75" i="5"/>
  <c r="AI75" i="5" s="1"/>
  <c r="AH40" i="5"/>
  <c r="AI40" i="5" s="1"/>
  <c r="AH114" i="5"/>
  <c r="AI114" i="5" s="1"/>
  <c r="AH118" i="5"/>
  <c r="AI118" i="5" s="1"/>
  <c r="AH44" i="5"/>
  <c r="AI44" i="5" s="1"/>
  <c r="AH65" i="5"/>
  <c r="AI65" i="5" s="1"/>
  <c r="AH74" i="5"/>
  <c r="AI74" i="5" s="1"/>
  <c r="AH97" i="5"/>
  <c r="AI97" i="5" s="1"/>
  <c r="AH38" i="5"/>
  <c r="AI38" i="5" s="1"/>
  <c r="AH110" i="5"/>
  <c r="AI110" i="5" s="1"/>
  <c r="AH124" i="5"/>
  <c r="AI124" i="5" s="1"/>
  <c r="AH46" i="5"/>
  <c r="AI46" i="5" s="1"/>
  <c r="AH96" i="5"/>
  <c r="AI96" i="5" s="1"/>
  <c r="AH52" i="5"/>
  <c r="AI52" i="5" s="1"/>
  <c r="AH95" i="5"/>
  <c r="AI95" i="5" s="1"/>
  <c r="AH101" i="5"/>
  <c r="AI101" i="5" s="1"/>
  <c r="AH122" i="5"/>
  <c r="AI122" i="5" s="1"/>
  <c r="AH123" i="5"/>
  <c r="AI123" i="5" s="1"/>
  <c r="AH85" i="1"/>
  <c r="AI85" i="1" s="1"/>
  <c r="AJ85" i="1" s="1"/>
  <c r="AH109" i="5"/>
  <c r="AI109" i="5" s="1"/>
  <c r="AH98" i="5"/>
  <c r="AI98" i="5" s="1"/>
  <c r="AH126" i="5"/>
  <c r="AI126" i="5" s="1"/>
  <c r="AH121" i="5"/>
  <c r="AI121" i="5" s="1"/>
  <c r="AH49" i="5"/>
  <c r="AI49" i="5" s="1"/>
  <c r="AH106" i="5"/>
  <c r="AI106" i="5" s="1"/>
  <c r="AH55" i="1"/>
  <c r="AI55" i="1" s="1"/>
  <c r="AJ55" i="1" s="1"/>
  <c r="AH66" i="1"/>
  <c r="AI66" i="1" s="1"/>
  <c r="AJ66" i="1" s="1"/>
  <c r="AH103" i="1"/>
  <c r="AI103" i="1" s="1"/>
  <c r="AJ103" i="1" s="1"/>
  <c r="AH52" i="1"/>
  <c r="AI52" i="1" s="1"/>
  <c r="AJ52" i="1" s="1"/>
  <c r="AH98" i="1"/>
  <c r="AI98" i="1" s="1"/>
  <c r="AJ98" i="1" s="1"/>
  <c r="AH48" i="1"/>
  <c r="AI48" i="1" s="1"/>
  <c r="AJ48" i="1" s="1"/>
  <c r="AH49" i="1"/>
  <c r="AI49" i="1" s="1"/>
  <c r="AJ49" i="1" s="1"/>
  <c r="AH39" i="1"/>
  <c r="AI39" i="1" s="1"/>
  <c r="AJ39" i="1" s="1"/>
  <c r="AH96" i="1"/>
  <c r="AI96" i="1" s="1"/>
  <c r="AJ96" i="1" s="1"/>
  <c r="AH47" i="1"/>
  <c r="AI47" i="1" s="1"/>
  <c r="AJ47" i="1" s="1"/>
  <c r="AH116" i="1"/>
  <c r="AI116" i="1" s="1"/>
  <c r="AJ116" i="1" s="1"/>
  <c r="AH111" i="1"/>
  <c r="AI111" i="1" s="1"/>
  <c r="AJ111" i="1" s="1"/>
  <c r="AH83" i="1"/>
  <c r="AI83" i="1" s="1"/>
  <c r="AJ83" i="1" s="1"/>
  <c r="AH62" i="1"/>
  <c r="AI62" i="1" s="1"/>
  <c r="AJ62" i="1" s="1"/>
  <c r="AH58" i="1"/>
  <c r="AI58" i="1" s="1"/>
  <c r="AJ58" i="1" s="1"/>
  <c r="AH51" i="1"/>
  <c r="AI51" i="1" s="1"/>
  <c r="AJ51" i="1" s="1"/>
  <c r="AH94" i="1"/>
  <c r="AI94" i="1" s="1"/>
  <c r="AJ94" i="1" s="1"/>
  <c r="AH125" i="1"/>
  <c r="AI125" i="1" s="1"/>
  <c r="AJ125" i="1" s="1"/>
  <c r="AH67" i="1"/>
  <c r="AI67" i="1" s="1"/>
  <c r="AJ67" i="1" s="1"/>
  <c r="AH60" i="1"/>
  <c r="AI60" i="1" s="1"/>
  <c r="AJ60" i="1" s="1"/>
  <c r="AH64" i="1"/>
  <c r="AI64" i="1" s="1"/>
  <c r="AJ64" i="1" s="1"/>
  <c r="AH113" i="1"/>
  <c r="AI113" i="1" s="1"/>
  <c r="AJ113" i="1" s="1"/>
  <c r="AH89" i="1"/>
  <c r="AI89" i="1" s="1"/>
  <c r="AJ89" i="1" s="1"/>
  <c r="AH65" i="1"/>
  <c r="AI65" i="1" s="1"/>
  <c r="AJ65" i="1" s="1"/>
  <c r="AH53" i="1"/>
  <c r="AI53" i="1" s="1"/>
  <c r="AJ53" i="1" s="1"/>
  <c r="AH108" i="1"/>
  <c r="AI108" i="1" s="1"/>
  <c r="AJ108" i="1" s="1"/>
  <c r="AH100" i="1"/>
  <c r="AI100" i="1" s="1"/>
  <c r="AJ100" i="1" s="1"/>
  <c r="AH109" i="1"/>
  <c r="AI109" i="1" s="1"/>
  <c r="AJ109" i="1" s="1"/>
  <c r="AH87" i="1"/>
  <c r="AI87" i="1" s="1"/>
  <c r="AJ87" i="1" s="1"/>
  <c r="AH86" i="1"/>
  <c r="AI86" i="1" s="1"/>
  <c r="AJ86" i="1" s="1"/>
  <c r="AH76" i="1"/>
  <c r="AI76" i="1" s="1"/>
  <c r="AJ76" i="1" s="1"/>
  <c r="AH45" i="1"/>
  <c r="AI45" i="1" s="1"/>
  <c r="AJ45" i="1" s="1"/>
  <c r="AH112" i="1"/>
  <c r="AI112" i="1" s="1"/>
  <c r="AJ112" i="1" s="1"/>
  <c r="AH107" i="1"/>
  <c r="AI107" i="1" s="1"/>
  <c r="AJ107" i="1" s="1"/>
  <c r="AH40" i="1"/>
  <c r="AI40" i="1" s="1"/>
  <c r="AJ40" i="1" s="1"/>
  <c r="AH110" i="1"/>
  <c r="AI110" i="1" s="1"/>
  <c r="AJ110" i="1" s="1"/>
  <c r="AH75" i="1"/>
  <c r="AI75" i="1" s="1"/>
  <c r="AJ75" i="1" s="1"/>
  <c r="AH93" i="1"/>
  <c r="AI93" i="1" s="1"/>
  <c r="AJ93" i="1" s="1"/>
  <c r="AH104" i="1"/>
  <c r="AI104" i="1" s="1"/>
  <c r="AJ104" i="1" s="1"/>
  <c r="AH46" i="1"/>
  <c r="AI46" i="1" s="1"/>
  <c r="AJ46" i="1" s="1"/>
  <c r="AH43" i="1"/>
  <c r="AI43" i="1" s="1"/>
  <c r="AJ43" i="1" s="1"/>
  <c r="AH97" i="1"/>
  <c r="AI97" i="1" s="1"/>
  <c r="AJ97" i="1" s="1"/>
  <c r="AH82" i="1"/>
  <c r="AI82" i="1" s="1"/>
  <c r="AJ82" i="1" s="1"/>
  <c r="AH106" i="1"/>
  <c r="AI106" i="1" s="1"/>
  <c r="AJ106" i="1" s="1"/>
  <c r="AH114" i="1"/>
  <c r="AI114" i="1" s="1"/>
  <c r="AJ114" i="1" s="1"/>
  <c r="AH118" i="1"/>
  <c r="AI118" i="1" s="1"/>
  <c r="AJ118" i="1" s="1"/>
  <c r="AH77" i="1"/>
  <c r="AI77" i="1" s="1"/>
  <c r="AJ77" i="1" s="1"/>
  <c r="AH69" i="1"/>
  <c r="AI69" i="1" s="1"/>
  <c r="AJ69" i="1" s="1"/>
  <c r="AH74" i="1"/>
  <c r="AI74" i="1" s="1"/>
  <c r="AJ74" i="1" s="1"/>
  <c r="AH70" i="1"/>
  <c r="AI70" i="1" s="1"/>
  <c r="AJ70" i="1" s="1"/>
  <c r="AH61" i="1"/>
  <c r="AI61" i="1" s="1"/>
  <c r="AJ61" i="1" s="1"/>
  <c r="AH71" i="1"/>
  <c r="AI71" i="1" s="1"/>
  <c r="AJ71" i="1" s="1"/>
  <c r="AH99" i="1"/>
  <c r="AI99" i="1" s="1"/>
  <c r="AJ99" i="1" s="1"/>
  <c r="AH42" i="1"/>
  <c r="AI42" i="1" s="1"/>
  <c r="AJ42" i="1" s="1"/>
  <c r="AH81" i="1"/>
  <c r="AI81" i="1" s="1"/>
  <c r="AJ81" i="1" s="1"/>
  <c r="AH105" i="1"/>
  <c r="AI105" i="1" s="1"/>
  <c r="AJ105" i="1" s="1"/>
  <c r="AH68" i="1"/>
  <c r="AI68" i="1" s="1"/>
  <c r="AJ68" i="1" s="1"/>
  <c r="AH72" i="1"/>
  <c r="AI72" i="1" s="1"/>
  <c r="AJ72" i="1" s="1"/>
  <c r="AH41" i="1"/>
  <c r="AI41" i="1" s="1"/>
  <c r="AJ41" i="1" s="1"/>
  <c r="AH90" i="1"/>
  <c r="AI90" i="1" s="1"/>
  <c r="AJ90" i="1" s="1"/>
  <c r="AH50" i="1"/>
  <c r="AI50" i="1" s="1"/>
  <c r="AJ50" i="1" s="1"/>
  <c r="AH59" i="1"/>
  <c r="AI59" i="1" s="1"/>
  <c r="AJ59" i="1" s="1"/>
  <c r="AH123" i="1"/>
  <c r="AI123" i="1" s="1"/>
  <c r="AJ123" i="1" s="1"/>
  <c r="AH56" i="1"/>
  <c r="AI56" i="1" s="1"/>
  <c r="AJ56" i="1" s="1"/>
  <c r="AH92" i="1"/>
  <c r="AI92" i="1" s="1"/>
  <c r="AJ92" i="1" s="1"/>
  <c r="AH88" i="1"/>
  <c r="AI88" i="1" s="1"/>
  <c r="AJ88" i="1" s="1"/>
  <c r="AH80" i="1"/>
  <c r="AI80" i="1" s="1"/>
  <c r="AJ80" i="1" s="1"/>
  <c r="AH115" i="1"/>
  <c r="AI115" i="1" s="1"/>
  <c r="AJ115" i="1" s="1"/>
  <c r="AH102" i="1"/>
  <c r="AI102" i="1" s="1"/>
  <c r="AJ102" i="1" s="1"/>
  <c r="AB104" i="1"/>
  <c r="AB56" i="1"/>
  <c r="AB68" i="1"/>
  <c r="AB126" i="1"/>
  <c r="AB58" i="1"/>
  <c r="AB117" i="1"/>
  <c r="AB125" i="1"/>
  <c r="AB106" i="1"/>
  <c r="AB54" i="1"/>
  <c r="AB73" i="1"/>
  <c r="AB98" i="1"/>
  <c r="AB112" i="1"/>
  <c r="AB121" i="1"/>
  <c r="AB52" i="1"/>
  <c r="AB86" i="1"/>
  <c r="AB96" i="1"/>
  <c r="AB103" i="1"/>
  <c r="AB114" i="1"/>
  <c r="AB93" i="1"/>
  <c r="AB71" i="1"/>
  <c r="AB120" i="1"/>
  <c r="AB110" i="1"/>
  <c r="AB84" i="1"/>
  <c r="AB72" i="1"/>
  <c r="AB116" i="1"/>
  <c r="AB60" i="1"/>
  <c r="AB66" i="1"/>
  <c r="AB115" i="1"/>
  <c r="AB76" i="1"/>
  <c r="AB83" i="1"/>
  <c r="AB101" i="1"/>
  <c r="AB108" i="1"/>
  <c r="AB42" i="1"/>
  <c r="AB105" i="1"/>
  <c r="AB87" i="1"/>
  <c r="AB89" i="1"/>
  <c r="AB111" i="1"/>
  <c r="AB69" i="1"/>
  <c r="AB97" i="1"/>
  <c r="AB107" i="1"/>
  <c r="AB122" i="1"/>
  <c r="AB41" i="1"/>
  <c r="AB90" i="1"/>
  <c r="AB109" i="1"/>
  <c r="AB81" i="1"/>
  <c r="AB39" i="1"/>
  <c r="AB94" i="1"/>
  <c r="AB80" i="1"/>
  <c r="AB124" i="1"/>
  <c r="AB88" i="1"/>
  <c r="AB74" i="1"/>
  <c r="AB119" i="1"/>
  <c r="AB51" i="1"/>
  <c r="AB79" i="1"/>
  <c r="AB70" i="1"/>
  <c r="AB92" i="1"/>
  <c r="AB102" i="1"/>
  <c r="AB91" i="1"/>
  <c r="AB77" i="1"/>
  <c r="AB113" i="1"/>
  <c r="AB123" i="1"/>
  <c r="AB118" i="1"/>
  <c r="AB75" i="1"/>
  <c r="AB95" i="1"/>
  <c r="AB85" i="1"/>
  <c r="AB78" i="1"/>
  <c r="AB100" i="1"/>
  <c r="AB82" i="1"/>
  <c r="AB99" i="1"/>
  <c r="AB55" i="1"/>
  <c r="AB62" i="1"/>
  <c r="AB63" i="1"/>
  <c r="AB45" i="1"/>
  <c r="AB61" i="1"/>
  <c r="AB67" i="1"/>
  <c r="AB47" i="1"/>
  <c r="AB43" i="1"/>
  <c r="AB50" i="1"/>
  <c r="AB40" i="1"/>
  <c r="AB53" i="1"/>
  <c r="AB59" i="1"/>
  <c r="AB44" i="1"/>
  <c r="AB57" i="1"/>
  <c r="AB64" i="1"/>
  <c r="AB48" i="1"/>
  <c r="AB49" i="1"/>
  <c r="AB46" i="1"/>
  <c r="AB65" i="1"/>
  <c r="AH121" i="1"/>
  <c r="AI121" i="1" s="1"/>
  <c r="AJ121" i="1" s="1"/>
  <c r="AH73" i="1"/>
  <c r="AI73" i="1" s="1"/>
  <c r="AJ73" i="1" s="1"/>
  <c r="AH120" i="1"/>
  <c r="AI120" i="1" s="1"/>
  <c r="AJ120" i="1" s="1"/>
  <c r="AH124" i="1"/>
  <c r="AI124" i="1" s="1"/>
  <c r="AJ124" i="1" s="1"/>
  <c r="AH117" i="1"/>
  <c r="AI117" i="1" s="1"/>
  <c r="AJ117" i="1" s="1"/>
  <c r="AH57" i="1"/>
  <c r="AI57" i="1" s="1"/>
  <c r="AJ57" i="1" s="1"/>
  <c r="AH78" i="1"/>
  <c r="AI78" i="1" s="1"/>
  <c r="AJ78" i="1" s="1"/>
  <c r="AH101" i="1"/>
  <c r="AI101" i="1" s="1"/>
  <c r="AJ101" i="1" s="1"/>
  <c r="AH84" i="1"/>
  <c r="AI84" i="1" s="1"/>
  <c r="AJ84" i="1" s="1"/>
  <c r="AH79" i="1"/>
  <c r="AI79" i="1" s="1"/>
  <c r="AJ79" i="1" s="1"/>
  <c r="AH54" i="1"/>
  <c r="AI54" i="1" s="1"/>
  <c r="AJ54" i="1" s="1"/>
  <c r="AH119" i="1"/>
  <c r="AI119" i="1" s="1"/>
  <c r="AJ119" i="1" s="1"/>
  <c r="AH44" i="1"/>
  <c r="AI44" i="1" s="1"/>
  <c r="AJ44" i="1" s="1"/>
  <c r="AH38" i="1"/>
  <c r="AI38" i="1" s="1"/>
  <c r="AJ38" i="1" s="1"/>
  <c r="AB38" i="1"/>
  <c r="AE38" i="1" s="1"/>
  <c r="AO59" i="5" l="1"/>
  <c r="AE59" i="5"/>
  <c r="AL59" i="5" s="1"/>
  <c r="AM59" i="5" s="1"/>
  <c r="AN59" i="5" s="1"/>
  <c r="AO80" i="5"/>
  <c r="AE80" i="5"/>
  <c r="AL80" i="5" s="1"/>
  <c r="AM80" i="5" s="1"/>
  <c r="AN80" i="5" s="1"/>
  <c r="AO99" i="5"/>
  <c r="AE99" i="5"/>
  <c r="AL99" i="5" s="1"/>
  <c r="AM99" i="5" s="1"/>
  <c r="AN99" i="5" s="1"/>
  <c r="AO118" i="5"/>
  <c r="AE118" i="5"/>
  <c r="AL118" i="5" s="1"/>
  <c r="AM118" i="5" s="1"/>
  <c r="AN118" i="5" s="1"/>
  <c r="AO38" i="5"/>
  <c r="AE38" i="5"/>
  <c r="AL38" i="5" s="1"/>
  <c r="AM38" i="5" s="1"/>
  <c r="AN38" i="5" s="1"/>
  <c r="AO56" i="5"/>
  <c r="AE56" i="5"/>
  <c r="AL56" i="5" s="1"/>
  <c r="AM56" i="5" s="1"/>
  <c r="AN56" i="5" s="1"/>
  <c r="AO39" i="5"/>
  <c r="AE39" i="5"/>
  <c r="AL39" i="5" s="1"/>
  <c r="AM39" i="5" s="1"/>
  <c r="AN39" i="5" s="1"/>
  <c r="AO105" i="5"/>
  <c r="AE105" i="5"/>
  <c r="AL105" i="5" s="1"/>
  <c r="AM105" i="5" s="1"/>
  <c r="AN105" i="5" s="1"/>
  <c r="AO84" i="5"/>
  <c r="AE84" i="5"/>
  <c r="AL84" i="5" s="1"/>
  <c r="AM84" i="5" s="1"/>
  <c r="AN84" i="5" s="1"/>
  <c r="AQ84" i="5" s="1"/>
  <c r="AE85" i="5"/>
  <c r="AL85" i="5" s="1"/>
  <c r="AM85" i="5" s="1"/>
  <c r="AN85" i="5" s="1"/>
  <c r="AO85" i="5"/>
  <c r="AO92" i="5"/>
  <c r="AE92" i="5"/>
  <c r="AL92" i="5" s="1"/>
  <c r="AM92" i="5" s="1"/>
  <c r="AN92" i="5" s="1"/>
  <c r="AO79" i="5"/>
  <c r="AE79" i="5"/>
  <c r="AL79" i="5" s="1"/>
  <c r="AM79" i="5" s="1"/>
  <c r="AN79" i="5" s="1"/>
  <c r="AO90" i="5"/>
  <c r="AE90" i="5"/>
  <c r="AL90" i="5" s="1"/>
  <c r="AM90" i="5" s="1"/>
  <c r="AO122" i="5"/>
  <c r="AE122" i="5"/>
  <c r="AL122" i="5" s="1"/>
  <c r="AM122" i="5" s="1"/>
  <c r="AO95" i="5"/>
  <c r="AE95" i="5"/>
  <c r="AL95" i="5" s="1"/>
  <c r="AM95" i="5" s="1"/>
  <c r="AO107" i="5"/>
  <c r="AE107" i="5"/>
  <c r="AL107" i="5" s="1"/>
  <c r="AM107" i="5" s="1"/>
  <c r="AN107" i="5" s="1"/>
  <c r="AE82" i="5"/>
  <c r="AL82" i="5" s="1"/>
  <c r="AM82" i="5" s="1"/>
  <c r="AN82" i="5" s="1"/>
  <c r="AO82" i="5"/>
  <c r="AO106" i="5"/>
  <c r="AE106" i="5"/>
  <c r="AL106" i="5" s="1"/>
  <c r="AM106" i="5" s="1"/>
  <c r="AN106" i="5" s="1"/>
  <c r="AO47" i="5"/>
  <c r="AE47" i="5"/>
  <c r="AL47" i="5" s="1"/>
  <c r="AM47" i="5" s="1"/>
  <c r="AN47" i="5" s="1"/>
  <c r="AO119" i="5"/>
  <c r="AE119" i="5"/>
  <c r="AL119" i="5" s="1"/>
  <c r="AM119" i="5" s="1"/>
  <c r="AO54" i="5"/>
  <c r="AE54" i="5"/>
  <c r="AL54" i="5" s="1"/>
  <c r="AM54" i="5" s="1"/>
  <c r="AE123" i="5"/>
  <c r="AL123" i="5" s="1"/>
  <c r="AM123" i="5" s="1"/>
  <c r="AN123" i="5" s="1"/>
  <c r="AO123" i="5"/>
  <c r="AO78" i="5"/>
  <c r="AE78" i="5"/>
  <c r="AL78" i="5" s="1"/>
  <c r="AM78" i="5" s="1"/>
  <c r="AO42" i="5"/>
  <c r="AE42" i="5"/>
  <c r="AL42" i="5" s="1"/>
  <c r="AM42" i="5" s="1"/>
  <c r="AN42" i="5" s="1"/>
  <c r="AE60" i="5"/>
  <c r="AL60" i="5" s="1"/>
  <c r="AM60" i="5" s="1"/>
  <c r="AN60" i="5" s="1"/>
  <c r="AO60" i="5"/>
  <c r="AO71" i="5"/>
  <c r="AE71" i="5"/>
  <c r="AL71" i="5" s="1"/>
  <c r="AM71" i="5" s="1"/>
  <c r="AN71" i="5" s="1"/>
  <c r="AO97" i="5"/>
  <c r="AE97" i="5"/>
  <c r="AL97" i="5" s="1"/>
  <c r="AM97" i="5" s="1"/>
  <c r="AN97" i="5" s="1"/>
  <c r="AQ97" i="5" s="1"/>
  <c r="AO51" i="5"/>
  <c r="AE51" i="5"/>
  <c r="AL51" i="5" s="1"/>
  <c r="AM51" i="5" s="1"/>
  <c r="AE120" i="5"/>
  <c r="AL120" i="5" s="1"/>
  <c r="AM120" i="5" s="1"/>
  <c r="AN120" i="5" s="1"/>
  <c r="AO120" i="5"/>
  <c r="AE57" i="5"/>
  <c r="AL57" i="5" s="1"/>
  <c r="AM57" i="5" s="1"/>
  <c r="AN57" i="5" s="1"/>
  <c r="AO57" i="5"/>
  <c r="AO124" i="5"/>
  <c r="AE124" i="5"/>
  <c r="AL124" i="5" s="1"/>
  <c r="AM124" i="5" s="1"/>
  <c r="AO41" i="5"/>
  <c r="AE41" i="5"/>
  <c r="AL41" i="5" s="1"/>
  <c r="AM41" i="5" s="1"/>
  <c r="AN41" i="5" s="1"/>
  <c r="AO48" i="5"/>
  <c r="AE48" i="5"/>
  <c r="AL48" i="5" s="1"/>
  <c r="AM48" i="5" s="1"/>
  <c r="AN48" i="5" s="1"/>
  <c r="AO98" i="5"/>
  <c r="AE98" i="5"/>
  <c r="AL98" i="5" s="1"/>
  <c r="AM98" i="5" s="1"/>
  <c r="AO114" i="5"/>
  <c r="AE114" i="5"/>
  <c r="AL114" i="5" s="1"/>
  <c r="AM114" i="5" s="1"/>
  <c r="AN114" i="5" s="1"/>
  <c r="AQ114" i="5" s="1"/>
  <c r="AE65" i="5"/>
  <c r="AL65" i="5" s="1"/>
  <c r="AM65" i="5" s="1"/>
  <c r="AN65" i="5" s="1"/>
  <c r="AO65" i="5"/>
  <c r="AO101" i="5"/>
  <c r="AE101" i="5"/>
  <c r="AL101" i="5" s="1"/>
  <c r="AM101" i="5" s="1"/>
  <c r="AN101" i="5" s="1"/>
  <c r="AO73" i="5"/>
  <c r="AE73" i="5"/>
  <c r="AL73" i="5" s="1"/>
  <c r="AM73" i="5" s="1"/>
  <c r="AN73" i="5" s="1"/>
  <c r="AO53" i="5"/>
  <c r="AE53" i="5"/>
  <c r="AL53" i="5" s="1"/>
  <c r="AM53" i="5" s="1"/>
  <c r="AO94" i="5"/>
  <c r="AE94" i="5"/>
  <c r="AL94" i="5" s="1"/>
  <c r="AM94" i="5" s="1"/>
  <c r="AN94" i="5" s="1"/>
  <c r="AO58" i="5"/>
  <c r="AE58" i="5"/>
  <c r="AL58" i="5" s="1"/>
  <c r="AM58" i="5" s="1"/>
  <c r="AN58" i="5" s="1"/>
  <c r="AO63" i="5"/>
  <c r="AE63" i="5"/>
  <c r="AL63" i="5" s="1"/>
  <c r="AM63" i="5" s="1"/>
  <c r="AN63" i="5" s="1"/>
  <c r="AO93" i="5"/>
  <c r="AE93" i="5"/>
  <c r="AL93" i="5" s="1"/>
  <c r="AM93" i="5" s="1"/>
  <c r="AN93" i="5" s="1"/>
  <c r="AQ93" i="5" s="1"/>
  <c r="AE50" i="5"/>
  <c r="AL50" i="5" s="1"/>
  <c r="AM50" i="5" s="1"/>
  <c r="AN50" i="5" s="1"/>
  <c r="AO50" i="5"/>
  <c r="AO89" i="5"/>
  <c r="AE89" i="5"/>
  <c r="AL89" i="5" s="1"/>
  <c r="AM89" i="5" s="1"/>
  <c r="AO115" i="5"/>
  <c r="AE115" i="5"/>
  <c r="AL115" i="5" s="1"/>
  <c r="AM115" i="5" s="1"/>
  <c r="AN115" i="5" s="1"/>
  <c r="AO44" i="5"/>
  <c r="AE44" i="5"/>
  <c r="AL44" i="5" s="1"/>
  <c r="AM44" i="5" s="1"/>
  <c r="AO108" i="5"/>
  <c r="AE108" i="5"/>
  <c r="AL108" i="5" s="1"/>
  <c r="AM108" i="5" s="1"/>
  <c r="AN108" i="5" s="1"/>
  <c r="AQ108" i="5" s="1"/>
  <c r="AO74" i="5"/>
  <c r="AE74" i="5"/>
  <c r="AL74" i="5" s="1"/>
  <c r="AM74" i="5" s="1"/>
  <c r="AN74" i="5" s="1"/>
  <c r="AQ74" i="5" s="1"/>
  <c r="AO125" i="5"/>
  <c r="AE125" i="5"/>
  <c r="AL125" i="5" s="1"/>
  <c r="AM125" i="5" s="1"/>
  <c r="AN125" i="5" s="1"/>
  <c r="AO62" i="5"/>
  <c r="AE62" i="5"/>
  <c r="AL62" i="5" s="1"/>
  <c r="AM62" i="5" s="1"/>
  <c r="AN62" i="5" s="1"/>
  <c r="AQ62" i="5" s="1"/>
  <c r="AO69" i="5"/>
  <c r="AE69" i="5"/>
  <c r="AL69" i="5" s="1"/>
  <c r="AM69" i="5" s="1"/>
  <c r="AO112" i="5"/>
  <c r="AE112" i="5"/>
  <c r="AL112" i="5" s="1"/>
  <c r="AM112" i="5" s="1"/>
  <c r="AN112" i="5" s="1"/>
  <c r="AO66" i="5"/>
  <c r="AE66" i="5"/>
  <c r="AL66" i="5" s="1"/>
  <c r="AM66" i="5" s="1"/>
  <c r="AO126" i="5"/>
  <c r="AE126" i="5"/>
  <c r="AL126" i="5" s="1"/>
  <c r="AM126" i="5" s="1"/>
  <c r="AO109" i="5"/>
  <c r="AE109" i="5"/>
  <c r="AL109" i="5" s="1"/>
  <c r="AM109" i="5" s="1"/>
  <c r="AN109" i="5" s="1"/>
  <c r="AQ109" i="5" s="1"/>
  <c r="AO116" i="5"/>
  <c r="AE116" i="5"/>
  <c r="AL116" i="5" s="1"/>
  <c r="AM116" i="5" s="1"/>
  <c r="AN116" i="5" s="1"/>
  <c r="AQ116" i="5" s="1"/>
  <c r="AE96" i="5"/>
  <c r="AL96" i="5" s="1"/>
  <c r="AM96" i="5" s="1"/>
  <c r="AN96" i="5" s="1"/>
  <c r="AO96" i="5"/>
  <c r="AO86" i="5"/>
  <c r="AE86" i="5"/>
  <c r="AL86" i="5" s="1"/>
  <c r="AM86" i="5" s="1"/>
  <c r="AN86" i="5" s="1"/>
  <c r="AQ86" i="5" s="1"/>
  <c r="AO110" i="5"/>
  <c r="AE110" i="5"/>
  <c r="AL110" i="5" s="1"/>
  <c r="AM110" i="5" s="1"/>
  <c r="AE103" i="5"/>
  <c r="AL103" i="5" s="1"/>
  <c r="AM103" i="5" s="1"/>
  <c r="AN103" i="5" s="1"/>
  <c r="AO103" i="5"/>
  <c r="AO68" i="5"/>
  <c r="AE68" i="5"/>
  <c r="AL68" i="5" s="1"/>
  <c r="AM68" i="5" s="1"/>
  <c r="AO67" i="5"/>
  <c r="AE67" i="5"/>
  <c r="AL67" i="5" s="1"/>
  <c r="AM67" i="5" s="1"/>
  <c r="AN67" i="5" s="1"/>
  <c r="AQ67" i="5" s="1"/>
  <c r="AO100" i="5"/>
  <c r="AE100" i="5"/>
  <c r="AL100" i="5" s="1"/>
  <c r="AM100" i="5" s="1"/>
  <c r="AN100" i="5" s="1"/>
  <c r="AQ100" i="5" s="1"/>
  <c r="AO87" i="5"/>
  <c r="AE87" i="5"/>
  <c r="AL87" i="5" s="1"/>
  <c r="AM87" i="5" s="1"/>
  <c r="AN87" i="5" s="1"/>
  <c r="AQ87" i="5" s="1"/>
  <c r="AO76" i="5"/>
  <c r="AE76" i="5"/>
  <c r="AL76" i="5" s="1"/>
  <c r="AM76" i="5" s="1"/>
  <c r="AN76" i="5" s="1"/>
  <c r="AO91" i="5"/>
  <c r="AE91" i="5"/>
  <c r="AL91" i="5" s="1"/>
  <c r="AM91" i="5" s="1"/>
  <c r="AN91" i="5" s="1"/>
  <c r="AQ91" i="5" s="1"/>
  <c r="AE72" i="5"/>
  <c r="AL72" i="5" s="1"/>
  <c r="AM72" i="5" s="1"/>
  <c r="AN72" i="5" s="1"/>
  <c r="AO72" i="5"/>
  <c r="AE61" i="5"/>
  <c r="AL61" i="5" s="1"/>
  <c r="AM61" i="5" s="1"/>
  <c r="AN61" i="5" s="1"/>
  <c r="AO61" i="5"/>
  <c r="AO40" i="5"/>
  <c r="AE40" i="5"/>
  <c r="AL40" i="5" s="1"/>
  <c r="AM40" i="5" s="1"/>
  <c r="AO70" i="5"/>
  <c r="AE70" i="5"/>
  <c r="AL70" i="5" s="1"/>
  <c r="AM70" i="5" s="1"/>
  <c r="AN70" i="5" s="1"/>
  <c r="AO52" i="5"/>
  <c r="AE52" i="5"/>
  <c r="AL52" i="5" s="1"/>
  <c r="AM52" i="5" s="1"/>
  <c r="AN52" i="5" s="1"/>
  <c r="AQ52" i="5" s="1"/>
  <c r="AO102" i="5"/>
  <c r="AE102" i="5"/>
  <c r="AL102" i="5" s="1"/>
  <c r="AM102" i="5" s="1"/>
  <c r="AN102" i="5" s="1"/>
  <c r="AQ102" i="5" s="1"/>
  <c r="AO49" i="5"/>
  <c r="AE49" i="5"/>
  <c r="AL49" i="5" s="1"/>
  <c r="AM49" i="5" s="1"/>
  <c r="AN49" i="5" s="1"/>
  <c r="AO83" i="5"/>
  <c r="AE83" i="5"/>
  <c r="AL83" i="5" s="1"/>
  <c r="AM83" i="5" s="1"/>
  <c r="AN83" i="5" s="1"/>
  <c r="AQ83" i="5" s="1"/>
  <c r="AO46" i="5"/>
  <c r="AE46" i="5"/>
  <c r="AL46" i="5" s="1"/>
  <c r="AM46" i="5" s="1"/>
  <c r="AO117" i="5"/>
  <c r="AE117" i="5"/>
  <c r="AL117" i="5" s="1"/>
  <c r="AM117" i="5" s="1"/>
  <c r="AN117" i="5" s="1"/>
  <c r="AO77" i="5"/>
  <c r="AE77" i="5"/>
  <c r="AL77" i="5" s="1"/>
  <c r="AM77" i="5" s="1"/>
  <c r="AE113" i="5"/>
  <c r="AL113" i="5" s="1"/>
  <c r="AM113" i="5" s="1"/>
  <c r="AN113" i="5" s="1"/>
  <c r="AO113" i="5"/>
  <c r="AO121" i="5"/>
  <c r="AE121" i="5"/>
  <c r="AL121" i="5" s="1"/>
  <c r="AM121" i="5" s="1"/>
  <c r="AN121" i="5" s="1"/>
  <c r="AQ121" i="5" s="1"/>
  <c r="AO111" i="5"/>
  <c r="AE111" i="5"/>
  <c r="AL111" i="5" s="1"/>
  <c r="AM111" i="5" s="1"/>
  <c r="AN111" i="5" s="1"/>
  <c r="AQ111" i="5" s="1"/>
  <c r="AO81" i="5"/>
  <c r="AE81" i="5"/>
  <c r="AL81" i="5" s="1"/>
  <c r="AM81" i="5" s="1"/>
  <c r="AN81" i="5" s="1"/>
  <c r="AO55" i="5"/>
  <c r="AE55" i="5"/>
  <c r="AL55" i="5" s="1"/>
  <c r="AM55" i="5" s="1"/>
  <c r="AN55" i="5" s="1"/>
  <c r="AQ55" i="5" s="1"/>
  <c r="AO104" i="5"/>
  <c r="AE104" i="5"/>
  <c r="AL104" i="5" s="1"/>
  <c r="AM104" i="5" s="1"/>
  <c r="AE64" i="5"/>
  <c r="AL64" i="5" s="1"/>
  <c r="AM64" i="5" s="1"/>
  <c r="AN64" i="5" s="1"/>
  <c r="AO64" i="5"/>
  <c r="AO75" i="5"/>
  <c r="AE75" i="5"/>
  <c r="AL75" i="5" s="1"/>
  <c r="AM75" i="5" s="1"/>
  <c r="AO43" i="5"/>
  <c r="AE43" i="5"/>
  <c r="AL43" i="5" s="1"/>
  <c r="AM43" i="5" s="1"/>
  <c r="AO45" i="5"/>
  <c r="AE45" i="5"/>
  <c r="AL45" i="5" s="1"/>
  <c r="AM45" i="5" s="1"/>
  <c r="AN45" i="5" s="1"/>
  <c r="AQ45" i="5" s="1"/>
  <c r="AO88" i="5"/>
  <c r="AE88" i="5"/>
  <c r="AL88" i="5" s="1"/>
  <c r="AM88" i="5" s="1"/>
  <c r="AN88" i="5" s="1"/>
  <c r="AQ88" i="5" s="1"/>
  <c r="AE70" i="1"/>
  <c r="AL70" i="1" s="1"/>
  <c r="AM70" i="1" s="1"/>
  <c r="AN70" i="1" s="1"/>
  <c r="AO70" i="1"/>
  <c r="AO49" i="1"/>
  <c r="AE49" i="1"/>
  <c r="AL49" i="1" s="1"/>
  <c r="AM49" i="1" s="1"/>
  <c r="AN49" i="1" s="1"/>
  <c r="AE99" i="1"/>
  <c r="AL99" i="1" s="1"/>
  <c r="AM99" i="1" s="1"/>
  <c r="AN99" i="1" s="1"/>
  <c r="AO99" i="1"/>
  <c r="AO51" i="1"/>
  <c r="AE51" i="1"/>
  <c r="AL51" i="1" s="1"/>
  <c r="AM51" i="1" s="1"/>
  <c r="AN51" i="1" s="1"/>
  <c r="AE111" i="1"/>
  <c r="AL111" i="1" s="1"/>
  <c r="AM111" i="1" s="1"/>
  <c r="AN111" i="1" s="1"/>
  <c r="AO111" i="1"/>
  <c r="AE120" i="1"/>
  <c r="AL120" i="1" s="1"/>
  <c r="AM120" i="1" s="1"/>
  <c r="AN120" i="1" s="1"/>
  <c r="AO120" i="1"/>
  <c r="AO58" i="1"/>
  <c r="AE58" i="1"/>
  <c r="AL58" i="1" s="1"/>
  <c r="AM58" i="1" s="1"/>
  <c r="AN58" i="1" s="1"/>
  <c r="AQ58" i="1" s="1"/>
  <c r="AO64" i="1"/>
  <c r="AE64" i="1"/>
  <c r="AL64" i="1" s="1"/>
  <c r="AM64" i="1" s="1"/>
  <c r="AN64" i="1" s="1"/>
  <c r="AQ64" i="1" s="1"/>
  <c r="AO82" i="1"/>
  <c r="AE82" i="1"/>
  <c r="AL82" i="1" s="1"/>
  <c r="AM82" i="1" s="1"/>
  <c r="AN82" i="1" s="1"/>
  <c r="AO119" i="1"/>
  <c r="AE119" i="1"/>
  <c r="AL119" i="1" s="1"/>
  <c r="AM119" i="1" s="1"/>
  <c r="AN119" i="1" s="1"/>
  <c r="AE89" i="1"/>
  <c r="AL89" i="1" s="1"/>
  <c r="AM89" i="1" s="1"/>
  <c r="AN89" i="1" s="1"/>
  <c r="AO89" i="1"/>
  <c r="AE71" i="1"/>
  <c r="AL71" i="1" s="1"/>
  <c r="AM71" i="1" s="1"/>
  <c r="AN71" i="1" s="1"/>
  <c r="AO71" i="1"/>
  <c r="AE126" i="1"/>
  <c r="AL126" i="1" s="1"/>
  <c r="AM126" i="1" s="1"/>
  <c r="AN126" i="1" s="1"/>
  <c r="AO126" i="1"/>
  <c r="AO97" i="1"/>
  <c r="AE97" i="1"/>
  <c r="AL97" i="1" s="1"/>
  <c r="AM97" i="1" s="1"/>
  <c r="AN97" i="1" s="1"/>
  <c r="AE79" i="1"/>
  <c r="AL79" i="1" s="1"/>
  <c r="AM79" i="1" s="1"/>
  <c r="AN79" i="1" s="1"/>
  <c r="AO79" i="1"/>
  <c r="AE100" i="1"/>
  <c r="AL100" i="1" s="1"/>
  <c r="AM100" i="1" s="1"/>
  <c r="AN100" i="1" s="1"/>
  <c r="AO100" i="1"/>
  <c r="AO88" i="1"/>
  <c r="AE88" i="1"/>
  <c r="AL88" i="1" s="1"/>
  <c r="AM88" i="1" s="1"/>
  <c r="AN88" i="1" s="1"/>
  <c r="AO105" i="1"/>
  <c r="AE105" i="1"/>
  <c r="AL105" i="1" s="1"/>
  <c r="AM105" i="1" s="1"/>
  <c r="AN105" i="1" s="1"/>
  <c r="AQ105" i="1" s="1"/>
  <c r="AE114" i="1"/>
  <c r="AL114" i="1" s="1"/>
  <c r="AM114" i="1" s="1"/>
  <c r="AN114" i="1" s="1"/>
  <c r="AO114" i="1"/>
  <c r="AE56" i="1"/>
  <c r="AL56" i="1" s="1"/>
  <c r="AM56" i="1" s="1"/>
  <c r="AN56" i="1" s="1"/>
  <c r="AO56" i="1"/>
  <c r="AO46" i="1"/>
  <c r="AE46" i="1"/>
  <c r="AL46" i="1" s="1"/>
  <c r="AM46" i="1" s="1"/>
  <c r="AN46" i="1" s="1"/>
  <c r="AE48" i="1"/>
  <c r="AL48" i="1" s="1"/>
  <c r="AM48" i="1" s="1"/>
  <c r="AN48" i="1" s="1"/>
  <c r="AO48" i="1"/>
  <c r="AE80" i="1"/>
  <c r="AL80" i="1" s="1"/>
  <c r="AM80" i="1" s="1"/>
  <c r="AN80" i="1" s="1"/>
  <c r="AO80" i="1"/>
  <c r="AE108" i="1"/>
  <c r="AL108" i="1" s="1"/>
  <c r="AM108" i="1" s="1"/>
  <c r="AN108" i="1" s="1"/>
  <c r="AO108" i="1"/>
  <c r="AE96" i="1"/>
  <c r="AL96" i="1" s="1"/>
  <c r="AM96" i="1" s="1"/>
  <c r="AN96" i="1" s="1"/>
  <c r="AO96" i="1"/>
  <c r="AE125" i="1"/>
  <c r="AL125" i="1" s="1"/>
  <c r="AM125" i="1" s="1"/>
  <c r="AN125" i="1" s="1"/>
  <c r="AO125" i="1"/>
  <c r="AE93" i="1"/>
  <c r="AL93" i="1" s="1"/>
  <c r="AM93" i="1" s="1"/>
  <c r="AN93" i="1" s="1"/>
  <c r="AO93" i="1"/>
  <c r="AO85" i="1"/>
  <c r="AE85" i="1"/>
  <c r="AL85" i="1" s="1"/>
  <c r="AM85" i="1" s="1"/>
  <c r="AN85" i="1" s="1"/>
  <c r="AE75" i="1"/>
  <c r="AL75" i="1" s="1"/>
  <c r="AM75" i="1" s="1"/>
  <c r="AN75" i="1" s="1"/>
  <c r="AO75" i="1"/>
  <c r="AO101" i="1"/>
  <c r="AE101" i="1"/>
  <c r="AL101" i="1" s="1"/>
  <c r="AM101" i="1" s="1"/>
  <c r="AN101" i="1" s="1"/>
  <c r="AE86" i="1"/>
  <c r="AL86" i="1" s="1"/>
  <c r="AM86" i="1" s="1"/>
  <c r="AN86" i="1" s="1"/>
  <c r="AO86" i="1"/>
  <c r="AO62" i="1"/>
  <c r="AE62" i="1"/>
  <c r="AL62" i="1" s="1"/>
  <c r="AM62" i="1" s="1"/>
  <c r="AN62" i="1" s="1"/>
  <c r="AQ62" i="1" s="1"/>
  <c r="AE104" i="1"/>
  <c r="AL104" i="1" s="1"/>
  <c r="AM104" i="1" s="1"/>
  <c r="AN104" i="1" s="1"/>
  <c r="AO104" i="1"/>
  <c r="AE53" i="1"/>
  <c r="AL53" i="1" s="1"/>
  <c r="AM53" i="1" s="1"/>
  <c r="AN53" i="1" s="1"/>
  <c r="AO53" i="1"/>
  <c r="AO40" i="1"/>
  <c r="AE40" i="1"/>
  <c r="AL40" i="1" s="1"/>
  <c r="AM40" i="1" s="1"/>
  <c r="AN40" i="1" s="1"/>
  <c r="AO94" i="1"/>
  <c r="AE94" i="1"/>
  <c r="AL94" i="1" s="1"/>
  <c r="AM94" i="1" s="1"/>
  <c r="AN94" i="1" s="1"/>
  <c r="AO50" i="1"/>
  <c r="AE50" i="1"/>
  <c r="AL50" i="1" s="1"/>
  <c r="AM50" i="1" s="1"/>
  <c r="AN50" i="1" s="1"/>
  <c r="AE118" i="1"/>
  <c r="AL118" i="1" s="1"/>
  <c r="AM118" i="1" s="1"/>
  <c r="AN118" i="1" s="1"/>
  <c r="AO118" i="1"/>
  <c r="AE39" i="1"/>
  <c r="AL39" i="1" s="1"/>
  <c r="AM39" i="1" s="1"/>
  <c r="AN39" i="1" s="1"/>
  <c r="AO39" i="1"/>
  <c r="AO83" i="1"/>
  <c r="AE83" i="1"/>
  <c r="AL83" i="1" s="1"/>
  <c r="AM83" i="1" s="1"/>
  <c r="AN83" i="1" s="1"/>
  <c r="AQ83" i="1" s="1"/>
  <c r="AO52" i="1"/>
  <c r="AE52" i="1"/>
  <c r="AL52" i="1" s="1"/>
  <c r="AM52" i="1" s="1"/>
  <c r="AN52" i="1" s="1"/>
  <c r="AE117" i="1"/>
  <c r="AL117" i="1" s="1"/>
  <c r="AM117" i="1" s="1"/>
  <c r="AN117" i="1" s="1"/>
  <c r="AO117" i="1"/>
  <c r="AE87" i="1"/>
  <c r="AL87" i="1" s="1"/>
  <c r="AM87" i="1" s="1"/>
  <c r="AN87" i="1" s="1"/>
  <c r="AO87" i="1"/>
  <c r="AE44" i="1"/>
  <c r="AL44" i="1" s="1"/>
  <c r="AM44" i="1" s="1"/>
  <c r="AN44" i="1" s="1"/>
  <c r="AO44" i="1"/>
  <c r="AE124" i="1"/>
  <c r="AL124" i="1" s="1"/>
  <c r="AM124" i="1" s="1"/>
  <c r="AN124" i="1" s="1"/>
  <c r="AO124" i="1"/>
  <c r="AO42" i="1"/>
  <c r="AE42" i="1"/>
  <c r="AL42" i="1" s="1"/>
  <c r="AM42" i="1" s="1"/>
  <c r="AN42" i="1" s="1"/>
  <c r="AO43" i="1"/>
  <c r="AE43" i="1"/>
  <c r="AL43" i="1" s="1"/>
  <c r="AM43" i="1" s="1"/>
  <c r="AN43" i="1" s="1"/>
  <c r="AO123" i="1"/>
  <c r="AE123" i="1"/>
  <c r="AL123" i="1" s="1"/>
  <c r="AM123" i="1" s="1"/>
  <c r="AN123" i="1" s="1"/>
  <c r="AQ123" i="1" s="1"/>
  <c r="AO81" i="1"/>
  <c r="AE81" i="1"/>
  <c r="AL81" i="1" s="1"/>
  <c r="AM81" i="1" s="1"/>
  <c r="AN81" i="1" s="1"/>
  <c r="AO76" i="1"/>
  <c r="AE76" i="1"/>
  <c r="AL76" i="1" s="1"/>
  <c r="AM76" i="1" s="1"/>
  <c r="AN76" i="1" s="1"/>
  <c r="AE121" i="1"/>
  <c r="AL121" i="1" s="1"/>
  <c r="AM121" i="1" s="1"/>
  <c r="AN121" i="1" s="1"/>
  <c r="AO121" i="1"/>
  <c r="AO55" i="1"/>
  <c r="AE55" i="1"/>
  <c r="AL55" i="1" s="1"/>
  <c r="AM55" i="1" s="1"/>
  <c r="AN55" i="1" s="1"/>
  <c r="AE74" i="1"/>
  <c r="AL74" i="1" s="1"/>
  <c r="AM74" i="1" s="1"/>
  <c r="AN74" i="1" s="1"/>
  <c r="AO74" i="1"/>
  <c r="AE68" i="1"/>
  <c r="AL68" i="1" s="1"/>
  <c r="AM68" i="1" s="1"/>
  <c r="AN68" i="1" s="1"/>
  <c r="AO68" i="1"/>
  <c r="AO59" i="1"/>
  <c r="AE59" i="1"/>
  <c r="AL59" i="1" s="1"/>
  <c r="AM59" i="1" s="1"/>
  <c r="AN59" i="1" s="1"/>
  <c r="AE103" i="1"/>
  <c r="AL103" i="1" s="1"/>
  <c r="AM103" i="1" s="1"/>
  <c r="AN103" i="1" s="1"/>
  <c r="AO103" i="1"/>
  <c r="AE95" i="1"/>
  <c r="AL95" i="1" s="1"/>
  <c r="AM95" i="1" s="1"/>
  <c r="AN95" i="1" s="1"/>
  <c r="AO95" i="1"/>
  <c r="AE47" i="1"/>
  <c r="AL47" i="1" s="1"/>
  <c r="AM47" i="1" s="1"/>
  <c r="AN47" i="1" s="1"/>
  <c r="AO47" i="1"/>
  <c r="AO113" i="1"/>
  <c r="AE113" i="1"/>
  <c r="AL113" i="1" s="1"/>
  <c r="AM113" i="1" s="1"/>
  <c r="AN113" i="1" s="1"/>
  <c r="AO109" i="1"/>
  <c r="AE109" i="1"/>
  <c r="AL109" i="1" s="1"/>
  <c r="AM109" i="1" s="1"/>
  <c r="AN109" i="1" s="1"/>
  <c r="AE115" i="1"/>
  <c r="AL115" i="1" s="1"/>
  <c r="AM115" i="1" s="1"/>
  <c r="AN115" i="1" s="1"/>
  <c r="AO115" i="1"/>
  <c r="AO112" i="1"/>
  <c r="AE112" i="1"/>
  <c r="AL112" i="1" s="1"/>
  <c r="AM112" i="1" s="1"/>
  <c r="AN112" i="1" s="1"/>
  <c r="AE84" i="1"/>
  <c r="AL84" i="1" s="1"/>
  <c r="AM84" i="1" s="1"/>
  <c r="AN84" i="1" s="1"/>
  <c r="AO84" i="1"/>
  <c r="AE69" i="1"/>
  <c r="AL69" i="1" s="1"/>
  <c r="AM69" i="1" s="1"/>
  <c r="AN69" i="1" s="1"/>
  <c r="AO69" i="1"/>
  <c r="AO57" i="1"/>
  <c r="AE57" i="1"/>
  <c r="AL57" i="1" s="1"/>
  <c r="AM57" i="1" s="1"/>
  <c r="AN57" i="1" s="1"/>
  <c r="AO78" i="1"/>
  <c r="AE78" i="1"/>
  <c r="AL78" i="1" s="1"/>
  <c r="AM78" i="1" s="1"/>
  <c r="AN78" i="1" s="1"/>
  <c r="AE67" i="1"/>
  <c r="AL67" i="1" s="1"/>
  <c r="AM67" i="1" s="1"/>
  <c r="AN67" i="1" s="1"/>
  <c r="AO67" i="1"/>
  <c r="AE77" i="1"/>
  <c r="AL77" i="1" s="1"/>
  <c r="AM77" i="1" s="1"/>
  <c r="AN77" i="1" s="1"/>
  <c r="AO77" i="1"/>
  <c r="AO90" i="1"/>
  <c r="AE90" i="1"/>
  <c r="AL90" i="1" s="1"/>
  <c r="AM90" i="1" s="1"/>
  <c r="AN90" i="1" s="1"/>
  <c r="AO66" i="1"/>
  <c r="AE66" i="1"/>
  <c r="AL66" i="1" s="1"/>
  <c r="AM66" i="1" s="1"/>
  <c r="AN66" i="1" s="1"/>
  <c r="AE98" i="1"/>
  <c r="AL98" i="1" s="1"/>
  <c r="AM98" i="1" s="1"/>
  <c r="AN98" i="1" s="1"/>
  <c r="AO98" i="1"/>
  <c r="AO110" i="1"/>
  <c r="AE110" i="1"/>
  <c r="AL110" i="1" s="1"/>
  <c r="AM110" i="1" s="1"/>
  <c r="AN110" i="1" s="1"/>
  <c r="AQ110" i="1" s="1"/>
  <c r="AO61" i="1"/>
  <c r="AE61" i="1"/>
  <c r="AL61" i="1" s="1"/>
  <c r="AM61" i="1" s="1"/>
  <c r="AN61" i="1" s="1"/>
  <c r="AE91" i="1"/>
  <c r="AL91" i="1" s="1"/>
  <c r="AM91" i="1" s="1"/>
  <c r="AN91" i="1" s="1"/>
  <c r="AO91" i="1"/>
  <c r="AO41" i="1"/>
  <c r="AE41" i="1"/>
  <c r="AL41" i="1" s="1"/>
  <c r="AM41" i="1" s="1"/>
  <c r="AN41" i="1" s="1"/>
  <c r="AO60" i="1"/>
  <c r="AE60" i="1"/>
  <c r="AL60" i="1" s="1"/>
  <c r="AM60" i="1" s="1"/>
  <c r="AN60" i="1" s="1"/>
  <c r="AE73" i="1"/>
  <c r="AL73" i="1" s="1"/>
  <c r="AM73" i="1" s="1"/>
  <c r="AN73" i="1" s="1"/>
  <c r="AO73" i="1"/>
  <c r="AO45" i="1"/>
  <c r="AE45" i="1"/>
  <c r="AL45" i="1" s="1"/>
  <c r="AM45" i="1" s="1"/>
  <c r="AN45" i="1" s="1"/>
  <c r="AE102" i="1"/>
  <c r="AL102" i="1" s="1"/>
  <c r="AM102" i="1" s="1"/>
  <c r="AN102" i="1" s="1"/>
  <c r="AO102" i="1"/>
  <c r="AE122" i="1"/>
  <c r="AL122" i="1" s="1"/>
  <c r="AM122" i="1" s="1"/>
  <c r="AN122" i="1" s="1"/>
  <c r="AO122" i="1"/>
  <c r="AE116" i="1"/>
  <c r="AL116" i="1" s="1"/>
  <c r="AM116" i="1" s="1"/>
  <c r="AN116" i="1" s="1"/>
  <c r="AO116" i="1"/>
  <c r="AO54" i="1"/>
  <c r="AE54" i="1"/>
  <c r="AL54" i="1" s="1"/>
  <c r="AM54" i="1" s="1"/>
  <c r="AN54" i="1" s="1"/>
  <c r="AE65" i="1"/>
  <c r="AL65" i="1" s="1"/>
  <c r="AM65" i="1" s="1"/>
  <c r="AN65" i="1" s="1"/>
  <c r="AO65" i="1"/>
  <c r="AO63" i="1"/>
  <c r="AE63" i="1"/>
  <c r="AL63" i="1" s="1"/>
  <c r="AM63" i="1" s="1"/>
  <c r="AN63" i="1" s="1"/>
  <c r="AE92" i="1"/>
  <c r="AL92" i="1" s="1"/>
  <c r="AM92" i="1" s="1"/>
  <c r="AN92" i="1" s="1"/>
  <c r="AO92" i="1"/>
  <c r="AE107" i="1"/>
  <c r="AL107" i="1" s="1"/>
  <c r="AM107" i="1" s="1"/>
  <c r="AN107" i="1" s="1"/>
  <c r="AO107" i="1"/>
  <c r="AO72" i="1"/>
  <c r="AE72" i="1"/>
  <c r="AL72" i="1" s="1"/>
  <c r="AM72" i="1" s="1"/>
  <c r="AN72" i="1" s="1"/>
  <c r="AE106" i="1"/>
  <c r="AL106" i="1" s="1"/>
  <c r="AM106" i="1" s="1"/>
  <c r="AN106" i="1" s="1"/>
  <c r="AO106" i="1"/>
  <c r="AL38" i="1"/>
  <c r="AM38" i="1" s="1"/>
  <c r="AN38" i="1" s="1"/>
  <c r="AO38" i="1"/>
  <c r="AQ45" i="1" l="1"/>
  <c r="AQ78" i="1"/>
  <c r="AQ76" i="1"/>
  <c r="AQ119" i="1"/>
  <c r="AQ49" i="1"/>
  <c r="AQ63" i="1"/>
  <c r="AQ112" i="5"/>
  <c r="AQ101" i="5"/>
  <c r="AQ94" i="5"/>
  <c r="AQ70" i="5"/>
  <c r="AQ47" i="5"/>
  <c r="AQ61" i="1"/>
  <c r="AQ57" i="1"/>
  <c r="AQ81" i="1"/>
  <c r="AQ88" i="1"/>
  <c r="AQ82" i="1"/>
  <c r="AQ81" i="5"/>
  <c r="AQ49" i="5"/>
  <c r="AQ76" i="5"/>
  <c r="AQ125" i="5"/>
  <c r="AQ66" i="1"/>
  <c r="AQ112" i="1"/>
  <c r="AQ42" i="1"/>
  <c r="AQ101" i="1"/>
  <c r="AQ97" i="1"/>
  <c r="AQ54" i="1"/>
  <c r="AQ63" i="5"/>
  <c r="AQ72" i="1"/>
  <c r="AQ59" i="1"/>
  <c r="AQ43" i="1"/>
  <c r="AQ42" i="5"/>
  <c r="AQ107" i="5"/>
  <c r="AQ71" i="5"/>
  <c r="AQ106" i="5"/>
  <c r="AQ38" i="5"/>
  <c r="AQ58" i="5"/>
  <c r="AQ79" i="5"/>
  <c r="AQ39" i="5"/>
  <c r="AQ60" i="1"/>
  <c r="AQ109" i="1"/>
  <c r="AQ55" i="1"/>
  <c r="AQ94" i="1"/>
  <c r="AQ51" i="1"/>
  <c r="AQ117" i="5"/>
  <c r="AQ118" i="5"/>
  <c r="AQ50" i="1"/>
  <c r="AQ46" i="1"/>
  <c r="AQ115" i="5"/>
  <c r="AQ73" i="5"/>
  <c r="AQ56" i="5"/>
  <c r="AQ52" i="1"/>
  <c r="AQ80" i="5"/>
  <c r="AQ90" i="1"/>
  <c r="AQ85" i="1"/>
  <c r="AQ41" i="5"/>
  <c r="AQ60" i="5"/>
  <c r="AQ105" i="5"/>
  <c r="AQ92" i="5"/>
  <c r="AQ99" i="5"/>
  <c r="AQ48" i="5"/>
  <c r="AQ59" i="5"/>
  <c r="AQ41" i="1"/>
  <c r="AQ113" i="1"/>
  <c r="AQ40" i="1"/>
  <c r="AQ86" i="1"/>
  <c r="AQ107" i="1"/>
  <c r="AQ92" i="1"/>
  <c r="AQ124" i="1"/>
  <c r="AQ44" i="1"/>
  <c r="AQ61" i="5"/>
  <c r="AQ93" i="1"/>
  <c r="AQ50" i="5"/>
  <c r="AQ84" i="1"/>
  <c r="AQ48" i="1"/>
  <c r="AQ73" i="1"/>
  <c r="AQ126" i="1"/>
  <c r="AQ103" i="5"/>
  <c r="AQ87" i="1"/>
  <c r="AQ89" i="1"/>
  <c r="AQ117" i="1"/>
  <c r="AQ98" i="1"/>
  <c r="AQ80" i="1"/>
  <c r="AQ68" i="1"/>
  <c r="AQ113" i="5"/>
  <c r="AQ75" i="1"/>
  <c r="AQ123" i="5"/>
  <c r="AQ56" i="1"/>
  <c r="AQ120" i="5"/>
  <c r="AQ65" i="1"/>
  <c r="AQ99" i="1"/>
  <c r="AQ47" i="1"/>
  <c r="AQ38" i="1"/>
  <c r="AP38" i="1"/>
  <c r="AR38" i="1" s="1"/>
  <c r="AQ116" i="1"/>
  <c r="AQ95" i="1"/>
  <c r="AQ104" i="1"/>
  <c r="AQ96" i="1"/>
  <c r="AQ70" i="1"/>
  <c r="AQ96" i="5"/>
  <c r="AQ85" i="5"/>
  <c r="AQ102" i="1"/>
  <c r="AQ39" i="1"/>
  <c r="AQ120" i="1"/>
  <c r="AQ74" i="1"/>
  <c r="AQ57" i="5"/>
  <c r="AQ71" i="1"/>
  <c r="AQ121" i="1"/>
  <c r="AQ72" i="5"/>
  <c r="AQ53" i="1"/>
  <c r="AQ79" i="1"/>
  <c r="AQ118" i="1"/>
  <c r="AQ115" i="1"/>
  <c r="AQ111" i="1"/>
  <c r="AQ77" i="1"/>
  <c r="AQ64" i="5"/>
  <c r="AQ67" i="1"/>
  <c r="AQ114" i="1"/>
  <c r="AQ65" i="5"/>
  <c r="AQ91" i="1"/>
  <c r="AQ125" i="1"/>
  <c r="AQ106" i="1"/>
  <c r="AQ122" i="1"/>
  <c r="AQ69" i="1"/>
  <c r="AQ103" i="1"/>
  <c r="AQ108" i="1"/>
  <c r="AQ100" i="1"/>
  <c r="AQ82" i="5"/>
  <c r="AN53" i="5"/>
  <c r="AQ53" i="5" s="1"/>
  <c r="AN75" i="5"/>
  <c r="AQ75" i="5" s="1"/>
  <c r="AN69" i="5"/>
  <c r="AQ69" i="5" s="1"/>
  <c r="AN119" i="5"/>
  <c r="AQ119" i="5" s="1"/>
  <c r="AN98" i="5"/>
  <c r="AQ98" i="5" s="1"/>
  <c r="AN44" i="5"/>
  <c r="AQ44" i="5" s="1"/>
  <c r="AN95" i="5"/>
  <c r="AQ95" i="5" s="1"/>
  <c r="AN77" i="5"/>
  <c r="AQ77" i="5" s="1"/>
  <c r="AN66" i="5"/>
  <c r="AQ66" i="5" s="1"/>
  <c r="AN54" i="5"/>
  <c r="AQ54" i="5" s="1"/>
  <c r="AN110" i="5"/>
  <c r="AQ110" i="5" s="1"/>
  <c r="AN43" i="5"/>
  <c r="AQ43" i="5" s="1"/>
  <c r="AN126" i="5"/>
  <c r="AQ126" i="5" s="1"/>
  <c r="AN78" i="5"/>
  <c r="AQ78" i="5" s="1"/>
  <c r="AN40" i="5"/>
  <c r="AQ40" i="5" s="1"/>
  <c r="AN89" i="5"/>
  <c r="AQ89" i="5" s="1"/>
  <c r="AN90" i="5"/>
  <c r="AQ90" i="5" s="1"/>
  <c r="AN104" i="5"/>
  <c r="AQ104" i="5" s="1"/>
  <c r="AN124" i="5"/>
  <c r="AQ124" i="5" s="1"/>
  <c r="AN68" i="5"/>
  <c r="AQ68" i="5" s="1"/>
  <c r="AN122" i="5"/>
  <c r="AQ122" i="5" s="1"/>
  <c r="AN46" i="5"/>
  <c r="AQ46" i="5" s="1"/>
  <c r="AN51" i="5"/>
  <c r="AQ51" i="5" s="1"/>
  <c r="AP88" i="5"/>
  <c r="AP111" i="5"/>
  <c r="AP102" i="5"/>
  <c r="AP87" i="5"/>
  <c r="AP116" i="5"/>
  <c r="AP58" i="5"/>
  <c r="AP84" i="5"/>
  <c r="AP59" i="5"/>
  <c r="AP73" i="5"/>
  <c r="AP56" i="5"/>
  <c r="AP50" i="5"/>
  <c r="AP79" i="5"/>
  <c r="AP118" i="5"/>
  <c r="AP39" i="5"/>
  <c r="AP70" i="5"/>
  <c r="AP67" i="5"/>
  <c r="AP71" i="5"/>
  <c r="AP115" i="5"/>
  <c r="AP105" i="1"/>
  <c r="AP119" i="1"/>
  <c r="AP49" i="1"/>
  <c r="AP55" i="5"/>
  <c r="AP83" i="5"/>
  <c r="AP91" i="5"/>
  <c r="AP86" i="5"/>
  <c r="AP62" i="5"/>
  <c r="AP93" i="5"/>
  <c r="AP114" i="5"/>
  <c r="AP97" i="5"/>
  <c r="AP47" i="5"/>
  <c r="AP92" i="5"/>
  <c r="AP99" i="5"/>
  <c r="AP45" i="5"/>
  <c r="AP121" i="5"/>
  <c r="AP52" i="5"/>
  <c r="AP100" i="5"/>
  <c r="AP109" i="5"/>
  <c r="AP108" i="5"/>
  <c r="AP94" i="5"/>
  <c r="AP41" i="5"/>
  <c r="AP42" i="5"/>
  <c r="AP105" i="5"/>
  <c r="AP81" i="5"/>
  <c r="AP49" i="5"/>
  <c r="AP76" i="5"/>
  <c r="AP125" i="5"/>
  <c r="AP63" i="5"/>
  <c r="AP74" i="5"/>
  <c r="AP48" i="5"/>
  <c r="AP112" i="5"/>
  <c r="AP44" i="1"/>
  <c r="AP117" i="5"/>
  <c r="AP38" i="5"/>
  <c r="AP101" i="5"/>
  <c r="AP106" i="5"/>
  <c r="AP113" i="5"/>
  <c r="AP123" i="5"/>
  <c r="AP103" i="5"/>
  <c r="AP114" i="1"/>
  <c r="AP72" i="5"/>
  <c r="AP96" i="5"/>
  <c r="AP85" i="5"/>
  <c r="AP80" i="5"/>
  <c r="AP107" i="5"/>
  <c r="AP64" i="5"/>
  <c r="AP120" i="5"/>
  <c r="AP89" i="1"/>
  <c r="AP57" i="5"/>
  <c r="AP61" i="5"/>
  <c r="AP65" i="5"/>
  <c r="AP60" i="5"/>
  <c r="AP82" i="5"/>
  <c r="AP78" i="1"/>
  <c r="AP76" i="1"/>
  <c r="AP39" i="1"/>
  <c r="AP88" i="1"/>
  <c r="AP66" i="1"/>
  <c r="AP41" i="1"/>
  <c r="AP61" i="1"/>
  <c r="AP112" i="1"/>
  <c r="AP67" i="1"/>
  <c r="AP110" i="1"/>
  <c r="AP64" i="1"/>
  <c r="AP102" i="1"/>
  <c r="AP59" i="1"/>
  <c r="AP58" i="1"/>
  <c r="AP90" i="1"/>
  <c r="AP60" i="1"/>
  <c r="AP109" i="1"/>
  <c r="AP55" i="1"/>
  <c r="AP94" i="1"/>
  <c r="AP71" i="1"/>
  <c r="AP51" i="1"/>
  <c r="AP82" i="1"/>
  <c r="AP84" i="1"/>
  <c r="AP107" i="1"/>
  <c r="AP48" i="1"/>
  <c r="AP120" i="1"/>
  <c r="AP46" i="1"/>
  <c r="AP104" i="1"/>
  <c r="AP100" i="1"/>
  <c r="AP42" i="1"/>
  <c r="AP101" i="1"/>
  <c r="AP75" i="1"/>
  <c r="AP126" i="1"/>
  <c r="AP111" i="1"/>
  <c r="AP124" i="1"/>
  <c r="AP54" i="1"/>
  <c r="AP40" i="1"/>
  <c r="AP125" i="1"/>
  <c r="AP95" i="1"/>
  <c r="AP96" i="1"/>
  <c r="AP116" i="1"/>
  <c r="AP106" i="1"/>
  <c r="AP72" i="1"/>
  <c r="AP69" i="1"/>
  <c r="AP103" i="1"/>
  <c r="AP123" i="1"/>
  <c r="AP62" i="1"/>
  <c r="AP70" i="1"/>
  <c r="AP92" i="1"/>
  <c r="AP63" i="1"/>
  <c r="AP73" i="1"/>
  <c r="AP115" i="1"/>
  <c r="AP74" i="1"/>
  <c r="AP50" i="1"/>
  <c r="AP97" i="1"/>
  <c r="AP86" i="1"/>
  <c r="AP113" i="1"/>
  <c r="AP79" i="1"/>
  <c r="AP85" i="1"/>
  <c r="AP121" i="1"/>
  <c r="AP87" i="1"/>
  <c r="AP118" i="1"/>
  <c r="AP91" i="1"/>
  <c r="AP47" i="1"/>
  <c r="AP93" i="1"/>
  <c r="AP56" i="1"/>
  <c r="AP80" i="1"/>
  <c r="AP65" i="1"/>
  <c r="AP57" i="1"/>
  <c r="AP117" i="1"/>
  <c r="AP53" i="1"/>
  <c r="AP68" i="1"/>
  <c r="AP77" i="1"/>
  <c r="AP122" i="1"/>
  <c r="AP81" i="1"/>
  <c r="AP52" i="1"/>
  <c r="AP99" i="1"/>
  <c r="AP83" i="1"/>
  <c r="AP45" i="1"/>
  <c r="AP98" i="1"/>
  <c r="AP43" i="1"/>
  <c r="AP108" i="1"/>
  <c r="AP104" i="5" l="1"/>
  <c r="AP126" i="5"/>
  <c r="AP110" i="5"/>
  <c r="AR110" i="5" s="1"/>
  <c r="AW110" i="5" s="1"/>
  <c r="AX110" i="5" s="1"/>
  <c r="AP66" i="5"/>
  <c r="AR66" i="5" s="1"/>
  <c r="AP77" i="5"/>
  <c r="AR77" i="5" s="1"/>
  <c r="AS77" i="5" s="1"/>
  <c r="AP51" i="5"/>
  <c r="AR51" i="5" s="1"/>
  <c r="AS51" i="5" s="1"/>
  <c r="AP95" i="5"/>
  <c r="AR95" i="5" s="1"/>
  <c r="AS95" i="5" s="1"/>
  <c r="AP90" i="5"/>
  <c r="AR90" i="5" s="1"/>
  <c r="AS90" i="5" s="1"/>
  <c r="AP122" i="5"/>
  <c r="AR122" i="5" s="1"/>
  <c r="AS122" i="5" s="1"/>
  <c r="AP98" i="5"/>
  <c r="AR98" i="5" s="1"/>
  <c r="AS98" i="5" s="1"/>
  <c r="AP75" i="5"/>
  <c r="AR75" i="5" s="1"/>
  <c r="AW75" i="5" s="1"/>
  <c r="AX75" i="5" s="1"/>
  <c r="AP89" i="5"/>
  <c r="AR89" i="5" s="1"/>
  <c r="AP78" i="5"/>
  <c r="AR78" i="5" s="1"/>
  <c r="AS78" i="5" s="1"/>
  <c r="AP54" i="5"/>
  <c r="AR54" i="5" s="1"/>
  <c r="AW54" i="5" s="1"/>
  <c r="AX54" i="5" s="1"/>
  <c r="AP44" i="5"/>
  <c r="AR44" i="5" s="1"/>
  <c r="AS44" i="5" s="1"/>
  <c r="AP68" i="5"/>
  <c r="AR68" i="5" s="1"/>
  <c r="AS68" i="5" s="1"/>
  <c r="AP119" i="5"/>
  <c r="AR119" i="5" s="1"/>
  <c r="AS119" i="5" s="1"/>
  <c r="AP53" i="5"/>
  <c r="AR53" i="5" s="1"/>
  <c r="AS53" i="5" s="1"/>
  <c r="AP40" i="5"/>
  <c r="AR40" i="5" s="1"/>
  <c r="AW40" i="5" s="1"/>
  <c r="AX40" i="5" s="1"/>
  <c r="AP43" i="5"/>
  <c r="AR43" i="5" s="1"/>
  <c r="AS43" i="5" s="1"/>
  <c r="AP46" i="5"/>
  <c r="AR46" i="5" s="1"/>
  <c r="AW46" i="5" s="1"/>
  <c r="AX46" i="5" s="1"/>
  <c r="AP124" i="5"/>
  <c r="AR124" i="5" s="1"/>
  <c r="AS124" i="5" s="1"/>
  <c r="AP69" i="5"/>
  <c r="AR69" i="5" s="1"/>
  <c r="AR82" i="5"/>
  <c r="AR41" i="5"/>
  <c r="AS41" i="5" s="1"/>
  <c r="AR91" i="5"/>
  <c r="AS91" i="5" s="1"/>
  <c r="AR59" i="5"/>
  <c r="AS59" i="5" s="1"/>
  <c r="AR60" i="5"/>
  <c r="AR126" i="5"/>
  <c r="AS126" i="5" s="1"/>
  <c r="AR61" i="5"/>
  <c r="AR109" i="5"/>
  <c r="AS109" i="5" s="1"/>
  <c r="AR116" i="5"/>
  <c r="AS116" i="5" s="1"/>
  <c r="AR57" i="5"/>
  <c r="AR52" i="5"/>
  <c r="AW52" i="5" s="1"/>
  <c r="AX52" i="5" s="1"/>
  <c r="AR102" i="5"/>
  <c r="AS102" i="5" s="1"/>
  <c r="AR120" i="5"/>
  <c r="AR64" i="5"/>
  <c r="AR45" i="5"/>
  <c r="AS45" i="5" s="1"/>
  <c r="AR71" i="5"/>
  <c r="AS71" i="5" s="1"/>
  <c r="AR88" i="5"/>
  <c r="AS88" i="5" s="1"/>
  <c r="AR107" i="5"/>
  <c r="AR99" i="5"/>
  <c r="AW99" i="5" s="1"/>
  <c r="AX99" i="5" s="1"/>
  <c r="AR80" i="5"/>
  <c r="AR92" i="5"/>
  <c r="AS92" i="5" s="1"/>
  <c r="AR85" i="5"/>
  <c r="AR47" i="5"/>
  <c r="AS47" i="5" s="1"/>
  <c r="AR96" i="5"/>
  <c r="AR114" i="5"/>
  <c r="AS114" i="5" s="1"/>
  <c r="AR81" i="5"/>
  <c r="AW81" i="5" s="1"/>
  <c r="AX81" i="5" s="1"/>
  <c r="AR50" i="5"/>
  <c r="AW50" i="5" s="1"/>
  <c r="AX50" i="5" s="1"/>
  <c r="AR123" i="5"/>
  <c r="AR42" i="5"/>
  <c r="AW42" i="5" s="1"/>
  <c r="AX42" i="5" s="1"/>
  <c r="AR86" i="5"/>
  <c r="AW86" i="5" s="1"/>
  <c r="AX86" i="5" s="1"/>
  <c r="AR73" i="5"/>
  <c r="AS73" i="5" s="1"/>
  <c r="AR113" i="5"/>
  <c r="AR106" i="5"/>
  <c r="AS106" i="5" s="1"/>
  <c r="AR94" i="5"/>
  <c r="AS94" i="5" s="1"/>
  <c r="AR83" i="5"/>
  <c r="AS83" i="5" s="1"/>
  <c r="AR84" i="5"/>
  <c r="AS84" i="5" s="1"/>
  <c r="AR65" i="5"/>
  <c r="AR101" i="5"/>
  <c r="AW101" i="5" s="1"/>
  <c r="AX101" i="5" s="1"/>
  <c r="AR108" i="5"/>
  <c r="AW108" i="5" s="1"/>
  <c r="AX108" i="5" s="1"/>
  <c r="AR55" i="5"/>
  <c r="AS55" i="5" s="1"/>
  <c r="AR58" i="5"/>
  <c r="AS58" i="5" s="1"/>
  <c r="AR38" i="5"/>
  <c r="AS38" i="5" s="1"/>
  <c r="AR117" i="5"/>
  <c r="AR100" i="5"/>
  <c r="AS100" i="5" s="1"/>
  <c r="AR87" i="5"/>
  <c r="AW87" i="5" s="1"/>
  <c r="AX87" i="5" s="1"/>
  <c r="AR112" i="5"/>
  <c r="AW112" i="5" s="1"/>
  <c r="AX112" i="5" s="1"/>
  <c r="AR121" i="5"/>
  <c r="AW121" i="5" s="1"/>
  <c r="AX121" i="5" s="1"/>
  <c r="AR115" i="5"/>
  <c r="AS115" i="5" s="1"/>
  <c r="AR111" i="5"/>
  <c r="AS111" i="5" s="1"/>
  <c r="AR48" i="5"/>
  <c r="AS48" i="5" s="1"/>
  <c r="AR74" i="5"/>
  <c r="AS74" i="5" s="1"/>
  <c r="AR67" i="5"/>
  <c r="AS67" i="5" s="1"/>
  <c r="AR63" i="5"/>
  <c r="AS63" i="5" s="1"/>
  <c r="AR70" i="5"/>
  <c r="AS70" i="5" s="1"/>
  <c r="AR125" i="5"/>
  <c r="AW125" i="5" s="1"/>
  <c r="AX125" i="5" s="1"/>
  <c r="AR39" i="5"/>
  <c r="AS39" i="5" s="1"/>
  <c r="AR76" i="5"/>
  <c r="AW76" i="5" s="1"/>
  <c r="AX76" i="5" s="1"/>
  <c r="AR97" i="5"/>
  <c r="AS97" i="5" s="1"/>
  <c r="AR118" i="5"/>
  <c r="AS118" i="5" s="1"/>
  <c r="AR72" i="5"/>
  <c r="AR49" i="5"/>
  <c r="AS49" i="5" s="1"/>
  <c r="AR79" i="5"/>
  <c r="AW79" i="5" s="1"/>
  <c r="AX79" i="5" s="1"/>
  <c r="AR93" i="5"/>
  <c r="AW93" i="5" s="1"/>
  <c r="AX93" i="5" s="1"/>
  <c r="AR104" i="5"/>
  <c r="AS104" i="5" s="1"/>
  <c r="AR103" i="5"/>
  <c r="AR105" i="5"/>
  <c r="AW105" i="5" s="1"/>
  <c r="AX105" i="5" s="1"/>
  <c r="AR62" i="5"/>
  <c r="AW62" i="5" s="1"/>
  <c r="AX62" i="5" s="1"/>
  <c r="AR56" i="5"/>
  <c r="AW56" i="5" s="1"/>
  <c r="AX56" i="5" s="1"/>
  <c r="AR113" i="1"/>
  <c r="AS113" i="1" s="1"/>
  <c r="AR68" i="1"/>
  <c r="AS68" i="1" s="1"/>
  <c r="AR50" i="1"/>
  <c r="AS50" i="1" s="1"/>
  <c r="AR65" i="1"/>
  <c r="AS65" i="1" s="1"/>
  <c r="AR98" i="1"/>
  <c r="AS98" i="1" s="1"/>
  <c r="AR45" i="1"/>
  <c r="AS45" i="1" s="1"/>
  <c r="AR99" i="1"/>
  <c r="AS99" i="1" s="1"/>
  <c r="AR87" i="1"/>
  <c r="AS87" i="1" s="1"/>
  <c r="AR77" i="1"/>
  <c r="AS77" i="1" s="1"/>
  <c r="AR86" i="1"/>
  <c r="AS86" i="1" s="1"/>
  <c r="AR53" i="1"/>
  <c r="AS53" i="1" s="1"/>
  <c r="AR117" i="1"/>
  <c r="AS117" i="1" s="1"/>
  <c r="AR80" i="1"/>
  <c r="AS80" i="1" s="1"/>
  <c r="AR108" i="1"/>
  <c r="AS108" i="1" s="1"/>
  <c r="AR43" i="1"/>
  <c r="AS43" i="1" s="1"/>
  <c r="AR83" i="1"/>
  <c r="AS83" i="1" s="1"/>
  <c r="AR121" i="1"/>
  <c r="AS121" i="1" s="1"/>
  <c r="AR122" i="1"/>
  <c r="AS122" i="1" s="1"/>
  <c r="AR79" i="1"/>
  <c r="AS79" i="1" s="1"/>
  <c r="AR97" i="1"/>
  <c r="AS97" i="1" s="1"/>
  <c r="AR57" i="1"/>
  <c r="AS57" i="1" s="1"/>
  <c r="AR74" i="1"/>
  <c r="AS74" i="1" s="1"/>
  <c r="AR115" i="1"/>
  <c r="AS115" i="1" s="1"/>
  <c r="AR73" i="1"/>
  <c r="AS73" i="1" s="1"/>
  <c r="AR56" i="1"/>
  <c r="AS56" i="1" s="1"/>
  <c r="AR63" i="1"/>
  <c r="AS63" i="1" s="1"/>
  <c r="AR93" i="1"/>
  <c r="AS93" i="1" s="1"/>
  <c r="AR92" i="1"/>
  <c r="AS92" i="1" s="1"/>
  <c r="AR47" i="1"/>
  <c r="AS47" i="1" s="1"/>
  <c r="AR91" i="1"/>
  <c r="AS91" i="1" s="1"/>
  <c r="AR118" i="1"/>
  <c r="AS118" i="1" s="1"/>
  <c r="AR52" i="1"/>
  <c r="AS52" i="1" s="1"/>
  <c r="AR81" i="1"/>
  <c r="AS81" i="1" s="1"/>
  <c r="AR85" i="1"/>
  <c r="AS85" i="1" s="1"/>
  <c r="AR62" i="1"/>
  <c r="AS62" i="1" s="1"/>
  <c r="AW62" i="1" s="1"/>
  <c r="AX62" i="1" s="1"/>
  <c r="AR104" i="1"/>
  <c r="AS104" i="1" s="1"/>
  <c r="AW104" i="1" s="1"/>
  <c r="AX104" i="1" s="1"/>
  <c r="AR46" i="1"/>
  <c r="AS46" i="1" s="1"/>
  <c r="AW46" i="1" s="1"/>
  <c r="AX46" i="1" s="1"/>
  <c r="AR59" i="1"/>
  <c r="AS59" i="1" s="1"/>
  <c r="AW59" i="1" s="1"/>
  <c r="AX59" i="1" s="1"/>
  <c r="AR123" i="1"/>
  <c r="AS123" i="1" s="1"/>
  <c r="AR69" i="1"/>
  <c r="AS69" i="1" s="1"/>
  <c r="AW69" i="1" s="1"/>
  <c r="AX69" i="1" s="1"/>
  <c r="AR72" i="1"/>
  <c r="AS72" i="1" s="1"/>
  <c r="AW72" i="1" s="1"/>
  <c r="AX72" i="1" s="1"/>
  <c r="AR64" i="1"/>
  <c r="AS64" i="1" s="1"/>
  <c r="AR116" i="1"/>
  <c r="AS116" i="1" s="1"/>
  <c r="AW116" i="1" s="1"/>
  <c r="AX116" i="1" s="1"/>
  <c r="AR48" i="1"/>
  <c r="AS48" i="1" s="1"/>
  <c r="AW48" i="1" s="1"/>
  <c r="AX48" i="1" s="1"/>
  <c r="AR67" i="1"/>
  <c r="AS67" i="1" s="1"/>
  <c r="AW67" i="1" s="1"/>
  <c r="AX67" i="1" s="1"/>
  <c r="AR89" i="1"/>
  <c r="AS89" i="1" s="1"/>
  <c r="AW89" i="1" s="1"/>
  <c r="AX89" i="1" s="1"/>
  <c r="AR100" i="1"/>
  <c r="AS100" i="1" s="1"/>
  <c r="AW100" i="1" s="1"/>
  <c r="AX100" i="1" s="1"/>
  <c r="AR110" i="1"/>
  <c r="AS110" i="1" s="1"/>
  <c r="AW110" i="1" s="1"/>
  <c r="AX110" i="1" s="1"/>
  <c r="AR61" i="1"/>
  <c r="AS61" i="1" s="1"/>
  <c r="AW61" i="1" s="1"/>
  <c r="AX61" i="1" s="1"/>
  <c r="AR120" i="1"/>
  <c r="AS120" i="1" s="1"/>
  <c r="AW120" i="1" s="1"/>
  <c r="AX120" i="1" s="1"/>
  <c r="AR96" i="1"/>
  <c r="AS96" i="1" s="1"/>
  <c r="AW96" i="1" s="1"/>
  <c r="AX96" i="1" s="1"/>
  <c r="AR112" i="1"/>
  <c r="AS112" i="1" s="1"/>
  <c r="AR84" i="1"/>
  <c r="AS84" i="1" s="1"/>
  <c r="AW84" i="1" s="1"/>
  <c r="AX84" i="1" s="1"/>
  <c r="AR125" i="1"/>
  <c r="AS125" i="1" s="1"/>
  <c r="AW125" i="1" s="1"/>
  <c r="AX125" i="1" s="1"/>
  <c r="AR82" i="1"/>
  <c r="AS82" i="1" s="1"/>
  <c r="AR41" i="1"/>
  <c r="AS41" i="1" s="1"/>
  <c r="AW41" i="1" s="1"/>
  <c r="AX41" i="1" s="1"/>
  <c r="AR95" i="1"/>
  <c r="AS95" i="1" s="1"/>
  <c r="AR40" i="1"/>
  <c r="AS40" i="1" s="1"/>
  <c r="AW40" i="1" s="1"/>
  <c r="AX40" i="1" s="1"/>
  <c r="AR51" i="1"/>
  <c r="AS51" i="1" s="1"/>
  <c r="AW51" i="1" s="1"/>
  <c r="AX51" i="1" s="1"/>
  <c r="AR66" i="1"/>
  <c r="AS66" i="1" s="1"/>
  <c r="AW66" i="1" s="1"/>
  <c r="AX66" i="1" s="1"/>
  <c r="AR114" i="1"/>
  <c r="AS114" i="1" s="1"/>
  <c r="AW114" i="1" s="1"/>
  <c r="AX114" i="1" s="1"/>
  <c r="AR101" i="1"/>
  <c r="AS101" i="1" s="1"/>
  <c r="AW101" i="1" s="1"/>
  <c r="AX101" i="1" s="1"/>
  <c r="AR42" i="1"/>
  <c r="AS42" i="1" s="1"/>
  <c r="AW42" i="1" s="1"/>
  <c r="AX42" i="1" s="1"/>
  <c r="AR106" i="1"/>
  <c r="AS106" i="1" s="1"/>
  <c r="AR54" i="1"/>
  <c r="AS54" i="1" s="1"/>
  <c r="AR71" i="1"/>
  <c r="AS71" i="1" s="1"/>
  <c r="AR88" i="1"/>
  <c r="AS88" i="1" s="1"/>
  <c r="AW88" i="1" s="1"/>
  <c r="AX88" i="1" s="1"/>
  <c r="AR49" i="1"/>
  <c r="AS49" i="1" s="1"/>
  <c r="AW49" i="1" s="1"/>
  <c r="AX49" i="1" s="1"/>
  <c r="AS38" i="1"/>
  <c r="AR124" i="1"/>
  <c r="AS124" i="1" s="1"/>
  <c r="AW124" i="1" s="1"/>
  <c r="AX124" i="1" s="1"/>
  <c r="AR94" i="1"/>
  <c r="AS94" i="1" s="1"/>
  <c r="AW94" i="1" s="1"/>
  <c r="AX94" i="1" s="1"/>
  <c r="AR39" i="1"/>
  <c r="AS39" i="1" s="1"/>
  <c r="AW39" i="1" s="1"/>
  <c r="AX39" i="1" s="1"/>
  <c r="AR119" i="1"/>
  <c r="AS119" i="1" s="1"/>
  <c r="AW119" i="1" s="1"/>
  <c r="AX119" i="1" s="1"/>
  <c r="AR58" i="1"/>
  <c r="AS58" i="1" s="1"/>
  <c r="AW58" i="1" s="1"/>
  <c r="AX58" i="1" s="1"/>
  <c r="AR102" i="1"/>
  <c r="AS102" i="1" s="1"/>
  <c r="AR55" i="1"/>
  <c r="AS55" i="1" s="1"/>
  <c r="AW55" i="1" s="1"/>
  <c r="AX55" i="1" s="1"/>
  <c r="AR44" i="1"/>
  <c r="AS44" i="1" s="1"/>
  <c r="AW44" i="1" s="1"/>
  <c r="AX44" i="1" s="1"/>
  <c r="AR105" i="1"/>
  <c r="AS105" i="1" s="1"/>
  <c r="AW105" i="1" s="1"/>
  <c r="AX105" i="1" s="1"/>
  <c r="AR90" i="1"/>
  <c r="AS90" i="1" s="1"/>
  <c r="AW90" i="1" s="1"/>
  <c r="AX90" i="1" s="1"/>
  <c r="AR107" i="1"/>
  <c r="AS107" i="1" s="1"/>
  <c r="AW107" i="1" s="1"/>
  <c r="AX107" i="1" s="1"/>
  <c r="AR111" i="1"/>
  <c r="AS111" i="1" s="1"/>
  <c r="AR76" i="1"/>
  <c r="AS76" i="1" s="1"/>
  <c r="AW76" i="1" s="1"/>
  <c r="AX76" i="1" s="1"/>
  <c r="AR126" i="1"/>
  <c r="AS126" i="1" s="1"/>
  <c r="AW126" i="1" s="1"/>
  <c r="AX126" i="1" s="1"/>
  <c r="AR109" i="1"/>
  <c r="AS109" i="1" s="1"/>
  <c r="AW109" i="1" s="1"/>
  <c r="AX109" i="1" s="1"/>
  <c r="AR78" i="1"/>
  <c r="AS78" i="1" s="1"/>
  <c r="AW78" i="1" s="1"/>
  <c r="AX78" i="1" s="1"/>
  <c r="AR103" i="1"/>
  <c r="AS103" i="1" s="1"/>
  <c r="AW103" i="1" s="1"/>
  <c r="AX103" i="1" s="1"/>
  <c r="AR70" i="1"/>
  <c r="AS70" i="1" s="1"/>
  <c r="AR75" i="1"/>
  <c r="AS75" i="1" s="1"/>
  <c r="AW75" i="1" s="1"/>
  <c r="AX75" i="1" s="1"/>
  <c r="AR60" i="1"/>
  <c r="AS60" i="1" s="1"/>
  <c r="AW60" i="1" s="1"/>
  <c r="AX60" i="1" s="1"/>
  <c r="AS117" i="5"/>
  <c r="AW41" i="5" l="1"/>
  <c r="AX41" i="5" s="1"/>
  <c r="AW66" i="5"/>
  <c r="AX66" i="5" s="1"/>
  <c r="AS66" i="5"/>
  <c r="AW70" i="5"/>
  <c r="AX70" i="5" s="1"/>
  <c r="AW59" i="5"/>
  <c r="AX59" i="5" s="1"/>
  <c r="AS69" i="5"/>
  <c r="AW69" i="5"/>
  <c r="AX69" i="5" s="1"/>
  <c r="AS89" i="5"/>
  <c r="AW89" i="5"/>
  <c r="AX89" i="5" s="1"/>
  <c r="AW91" i="5"/>
  <c r="AX91" i="5" s="1"/>
  <c r="AW58" i="5"/>
  <c r="AX58" i="5" s="1"/>
  <c r="AS76" i="5"/>
  <c r="AS62" i="5"/>
  <c r="AW95" i="5"/>
  <c r="AX95" i="5" s="1"/>
  <c r="AS108" i="5"/>
  <c r="AW67" i="5"/>
  <c r="AX67" i="5" s="1"/>
  <c r="AW109" i="5"/>
  <c r="AX109" i="5" s="1"/>
  <c r="AS81" i="5"/>
  <c r="AW55" i="5"/>
  <c r="AX55" i="5" s="1"/>
  <c r="AS56" i="5"/>
  <c r="AS110" i="5"/>
  <c r="AW47" i="5"/>
  <c r="AX47" i="5" s="1"/>
  <c r="AW94" i="5"/>
  <c r="AX94" i="5" s="1"/>
  <c r="AW83" i="5"/>
  <c r="AX83" i="5" s="1"/>
  <c r="AW116" i="5"/>
  <c r="AX116" i="5" s="1"/>
  <c r="AW92" i="5"/>
  <c r="AX92" i="5" s="1"/>
  <c r="AW100" i="5"/>
  <c r="AX100" i="5" s="1"/>
  <c r="AW122" i="5"/>
  <c r="AX122" i="5" s="1"/>
  <c r="AS99" i="5"/>
  <c r="AS42" i="5"/>
  <c r="AW39" i="5"/>
  <c r="AX39" i="5" s="1"/>
  <c r="AW124" i="5"/>
  <c r="AX124" i="5" s="1"/>
  <c r="AW48" i="5"/>
  <c r="AX48" i="5" s="1"/>
  <c r="AS50" i="5"/>
  <c r="AS121" i="5"/>
  <c r="AW71" i="5"/>
  <c r="AX71" i="5" s="1"/>
  <c r="AW102" i="5"/>
  <c r="AX102" i="5" s="1"/>
  <c r="AS125" i="5"/>
  <c r="AW111" i="5"/>
  <c r="AX111" i="5" s="1"/>
  <c r="AW119" i="5"/>
  <c r="AX119" i="5" s="1"/>
  <c r="AW53" i="5"/>
  <c r="AX53" i="5" s="1"/>
  <c r="AW43" i="5"/>
  <c r="AX43" i="5" s="1"/>
  <c r="AW90" i="5"/>
  <c r="AX90" i="5" s="1"/>
  <c r="AS46" i="5"/>
  <c r="AW98" i="5"/>
  <c r="AX98" i="5" s="1"/>
  <c r="AW68" i="5"/>
  <c r="AX68" i="5" s="1"/>
  <c r="AW44" i="5"/>
  <c r="AX44" i="5" s="1"/>
  <c r="AS54" i="5"/>
  <c r="AS40" i="5"/>
  <c r="AW78" i="5"/>
  <c r="AX78" i="5" s="1"/>
  <c r="AS75" i="5"/>
  <c r="AW77" i="5"/>
  <c r="AX77" i="5" s="1"/>
  <c r="AW104" i="5"/>
  <c r="AX104" i="5" s="1"/>
  <c r="AW88" i="5"/>
  <c r="AX88" i="5" s="1"/>
  <c r="AS79" i="5"/>
  <c r="AW51" i="5"/>
  <c r="AX51" i="5" s="1"/>
  <c r="AW126" i="5"/>
  <c r="AX126" i="5" s="1"/>
  <c r="AS52" i="5"/>
  <c r="AW115" i="5"/>
  <c r="AX115" i="5" s="1"/>
  <c r="AS87" i="5"/>
  <c r="AW73" i="5"/>
  <c r="AX73" i="5" s="1"/>
  <c r="AW84" i="5"/>
  <c r="AX84" i="5" s="1"/>
  <c r="AS105" i="5"/>
  <c r="AW118" i="5"/>
  <c r="AX118" i="5" s="1"/>
  <c r="AS86" i="5"/>
  <c r="AW114" i="5"/>
  <c r="AX114" i="5" s="1"/>
  <c r="AS93" i="5"/>
  <c r="AW45" i="5"/>
  <c r="AX45" i="5" s="1"/>
  <c r="AW63" i="5"/>
  <c r="AX63" i="5" s="1"/>
  <c r="AW97" i="5"/>
  <c r="AX97" i="5" s="1"/>
  <c r="AS101" i="5"/>
  <c r="AW49" i="5"/>
  <c r="AX49" i="5" s="1"/>
  <c r="AW106" i="5"/>
  <c r="AX106" i="5" s="1"/>
  <c r="AS112" i="5"/>
  <c r="AW74" i="5"/>
  <c r="AX74" i="5" s="1"/>
  <c r="AW117" i="5"/>
  <c r="AX117" i="5" s="1"/>
  <c r="AW38" i="5"/>
  <c r="AX38" i="5" s="1"/>
  <c r="AW64" i="1"/>
  <c r="AX64" i="1" s="1"/>
  <c r="AS123" i="5"/>
  <c r="AW123" i="5"/>
  <c r="AX123" i="5" s="1"/>
  <c r="AW82" i="1"/>
  <c r="AX82" i="1" s="1"/>
  <c r="AS113" i="5"/>
  <c r="AW113" i="5"/>
  <c r="AX113" i="5" s="1"/>
  <c r="AS82" i="5"/>
  <c r="AW82" i="5"/>
  <c r="AX82" i="5" s="1"/>
  <c r="AS96" i="5"/>
  <c r="AW96" i="5"/>
  <c r="AX96" i="5" s="1"/>
  <c r="AS61" i="5"/>
  <c r="AW61" i="5"/>
  <c r="AX61" i="5" s="1"/>
  <c r="AS85" i="5"/>
  <c r="AW85" i="5"/>
  <c r="AX85" i="5" s="1"/>
  <c r="AS60" i="5"/>
  <c r="AW60" i="5"/>
  <c r="AX60" i="5" s="1"/>
  <c r="AS65" i="5"/>
  <c r="AW65" i="5"/>
  <c r="AX65" i="5" s="1"/>
  <c r="AW112" i="1"/>
  <c r="AX112" i="1" s="1"/>
  <c r="AS72" i="5"/>
  <c r="AW72" i="5"/>
  <c r="AX72" i="5" s="1"/>
  <c r="AS57" i="5"/>
  <c r="AW57" i="5"/>
  <c r="AX57" i="5" s="1"/>
  <c r="AS80" i="5"/>
  <c r="AW80" i="5"/>
  <c r="AX80" i="5" s="1"/>
  <c r="AS64" i="5"/>
  <c r="AW64" i="5"/>
  <c r="AX64" i="5" s="1"/>
  <c r="AS103" i="5"/>
  <c r="AW103" i="5"/>
  <c r="AX103" i="5" s="1"/>
  <c r="AS107" i="5"/>
  <c r="AW107" i="5"/>
  <c r="AX107" i="5" s="1"/>
  <c r="AS120" i="5"/>
  <c r="AW120" i="5"/>
  <c r="AX120" i="5" s="1"/>
  <c r="AW95" i="1"/>
  <c r="AX95" i="1" s="1"/>
  <c r="AW111" i="1"/>
  <c r="AX111" i="1" s="1"/>
  <c r="AW123" i="1"/>
  <c r="AX123" i="1" s="1"/>
  <c r="AW71" i="1"/>
  <c r="AX71" i="1" s="1"/>
  <c r="AW102" i="1"/>
  <c r="AX102" i="1" s="1"/>
  <c r="AW54" i="1"/>
  <c r="AX54" i="1" s="1"/>
  <c r="AW70" i="1"/>
  <c r="AX70" i="1" s="1"/>
  <c r="AW106" i="1"/>
  <c r="AX106" i="1" s="1"/>
  <c r="AW73" i="1"/>
  <c r="AX73" i="1" s="1"/>
  <c r="AW52" i="1"/>
  <c r="AX52" i="1" s="1"/>
  <c r="AW77" i="1"/>
  <c r="AX77" i="1" s="1"/>
  <c r="AW108" i="1"/>
  <c r="AX108" i="1" s="1"/>
  <c r="AW43" i="1"/>
  <c r="AX43" i="1" s="1"/>
  <c r="AW92" i="1"/>
  <c r="AX92" i="1" s="1"/>
  <c r="AW98" i="1"/>
  <c r="AX98" i="1" s="1"/>
  <c r="AW57" i="1"/>
  <c r="AX57" i="1" s="1"/>
  <c r="AW63" i="1"/>
  <c r="AX63" i="1" s="1"/>
  <c r="AW53" i="1"/>
  <c r="AX53" i="1" s="1"/>
  <c r="AW99" i="1"/>
  <c r="AX99" i="1" s="1"/>
  <c r="AW85" i="1"/>
  <c r="AX85" i="1" s="1"/>
  <c r="AW56" i="1"/>
  <c r="AX56" i="1" s="1"/>
  <c r="AW91" i="1"/>
  <c r="AX91" i="1" s="1"/>
  <c r="AW115" i="1"/>
  <c r="AX115" i="1" s="1"/>
  <c r="AW74" i="1"/>
  <c r="AX74" i="1" s="1"/>
  <c r="AW121" i="1"/>
  <c r="AX121" i="1" s="1"/>
  <c r="AW81" i="1"/>
  <c r="AX81" i="1" s="1"/>
  <c r="AW87" i="1"/>
  <c r="AX87" i="1" s="1"/>
  <c r="AW83" i="1"/>
  <c r="AX83" i="1" s="1"/>
  <c r="AW47" i="1"/>
  <c r="AX47" i="1" s="1"/>
  <c r="AW50" i="1"/>
  <c r="AX50" i="1" s="1"/>
  <c r="AW117" i="1"/>
  <c r="AX117" i="1" s="1"/>
  <c r="AW93" i="1"/>
  <c r="AX93" i="1" s="1"/>
  <c r="AW80" i="1"/>
  <c r="AX80" i="1" s="1"/>
  <c r="AW45" i="1"/>
  <c r="AX45" i="1" s="1"/>
  <c r="AW65" i="1"/>
  <c r="AX65" i="1" s="1"/>
  <c r="AW122" i="1"/>
  <c r="AX122" i="1" s="1"/>
  <c r="AW79" i="1"/>
  <c r="AX79" i="1" s="1"/>
  <c r="AW118" i="1"/>
  <c r="AX118" i="1" s="1"/>
  <c r="AW86" i="1"/>
  <c r="AX86" i="1" s="1"/>
  <c r="AW68" i="1"/>
  <c r="AX68" i="1" s="1"/>
  <c r="AW97" i="1"/>
  <c r="AX97" i="1" s="1"/>
  <c r="AW113" i="1"/>
  <c r="AX113" i="1" s="1"/>
  <c r="AW38" i="1"/>
  <c r="AX38" i="1" s="1"/>
</calcChain>
</file>

<file path=xl/sharedStrings.xml><?xml version="1.0" encoding="utf-8"?>
<sst xmlns="http://schemas.openxmlformats.org/spreadsheetml/2006/main" count="697" uniqueCount="308">
  <si>
    <t>Starch</t>
  </si>
  <si>
    <t>StarchD</t>
  </si>
  <si>
    <t>NDF</t>
  </si>
  <si>
    <t xml:space="preserve">NDFD </t>
  </si>
  <si>
    <t>EE</t>
  </si>
  <si>
    <t>CP</t>
  </si>
  <si>
    <t>Ash</t>
  </si>
  <si>
    <t>Starch kd</t>
  </si>
  <si>
    <t>ttSD</t>
  </si>
  <si>
    <t>RDP</t>
  </si>
  <si>
    <t>dRUP</t>
  </si>
  <si>
    <t>FA</t>
  </si>
  <si>
    <t>ROM</t>
  </si>
  <si>
    <t>Item</t>
  </si>
  <si>
    <t>Alfalfa Silage</t>
  </si>
  <si>
    <t>HMC</t>
  </si>
  <si>
    <t>Cottonseed</t>
  </si>
  <si>
    <t>DGSC</t>
  </si>
  <si>
    <t>Soy hulls</t>
  </si>
  <si>
    <t>Expeller Meal</t>
  </si>
  <si>
    <t>Canola Meal</t>
  </si>
  <si>
    <t>Soybean Meal</t>
  </si>
  <si>
    <t>Tallow (EB100)</t>
  </si>
  <si>
    <t>Basal Diet Avg</t>
  </si>
  <si>
    <t>Total</t>
  </si>
  <si>
    <t>with CS</t>
  </si>
  <si>
    <t>Basal Diet Inclusion</t>
  </si>
  <si>
    <t>RUP</t>
  </si>
  <si>
    <t>Corrected Basal GE</t>
  </si>
  <si>
    <t>Basal GE</t>
  </si>
  <si>
    <t>MY</t>
  </si>
  <si>
    <t>DE</t>
  </si>
  <si>
    <t>Gas E</t>
  </si>
  <si>
    <t>adCP</t>
  </si>
  <si>
    <t>CP intake</t>
  </si>
  <si>
    <t>RDP Intake</t>
  </si>
  <si>
    <t>dRUP Intake</t>
  </si>
  <si>
    <t>Milk CP Yield</t>
  </si>
  <si>
    <t>ME</t>
  </si>
  <si>
    <t>NEL</t>
  </si>
  <si>
    <t>GE ratio</t>
  </si>
  <si>
    <t>Milk Fat</t>
  </si>
  <si>
    <t>Milk Protein</t>
  </si>
  <si>
    <t>Milk Lactose</t>
  </si>
  <si>
    <t>Milk NEL</t>
  </si>
  <si>
    <t>mCal/kg DM</t>
  </si>
  <si>
    <t>from CS</t>
  </si>
  <si>
    <t>kg milk/d</t>
  </si>
  <si>
    <t>lb milk/d</t>
  </si>
  <si>
    <t>Energy/Milk Calculations</t>
  </si>
  <si>
    <t>Diet info and calculations</t>
  </si>
  <si>
    <t>Conversions, losses, and extra calculations</t>
  </si>
  <si>
    <t>Sample ID</t>
  </si>
  <si>
    <t>CS % Inclusion</t>
  </si>
  <si>
    <t>Original Diet Comp</t>
  </si>
  <si>
    <t xml:space="preserve"> Corrected Diet Comp</t>
  </si>
  <si>
    <t>Nutrient Calculations</t>
  </si>
  <si>
    <t>NEL -&gt; milk</t>
  </si>
  <si>
    <t>Urine E</t>
  </si>
  <si>
    <t>RationADF</t>
  </si>
  <si>
    <t>Nutrient Calc</t>
  </si>
  <si>
    <t>Energy Calc</t>
  </si>
  <si>
    <t>Diet % Corrections</t>
  </si>
  <si>
    <t>Ingredient Nutrient Composition</t>
  </si>
  <si>
    <t>Basal Diet Nutrient Composition</t>
  </si>
  <si>
    <t>Diet Ingredient Composition and Corrections</t>
  </si>
  <si>
    <t>(CS GE/Diet GE)</t>
  </si>
  <si>
    <t>NEL -&gt; milk NEL</t>
  </si>
  <si>
    <t xml:space="preserve">Nel for Milk </t>
  </si>
  <si>
    <t>Maintenance</t>
  </si>
  <si>
    <t>BW gain</t>
  </si>
  <si>
    <t>Total DMI</t>
  </si>
  <si>
    <t>lbs/d</t>
  </si>
  <si>
    <t>CS DMI</t>
  </si>
  <si>
    <t>fMCP</t>
  </si>
  <si>
    <t>g/kg DMI</t>
  </si>
  <si>
    <t>kg/d</t>
  </si>
  <si>
    <t>fMCP Yield</t>
  </si>
  <si>
    <t>% CP</t>
  </si>
  <si>
    <t xml:space="preserve">kg/d </t>
  </si>
  <si>
    <t>MFCP</t>
  </si>
  <si>
    <t xml:space="preserve"> g/kg DMI</t>
  </si>
  <si>
    <t>UN</t>
  </si>
  <si>
    <t xml:space="preserve"> g/d</t>
  </si>
  <si>
    <t>MCP</t>
  </si>
  <si>
    <t>MFCP Yield</t>
  </si>
  <si>
    <t>Body Gain CP</t>
  </si>
  <si>
    <t>NDF kd</t>
  </si>
  <si>
    <t>tt NDFD</t>
  </si>
  <si>
    <t xml:space="preserve">ttNDFD </t>
  </si>
  <si>
    <t>uNDF% NDF</t>
  </si>
  <si>
    <t>CS DE*</t>
  </si>
  <si>
    <t>Corrected CS DE*</t>
  </si>
  <si>
    <t>Overall DE*</t>
  </si>
  <si>
    <t>Ash Corrected</t>
  </si>
  <si>
    <t>Not Corrected for Ash</t>
  </si>
  <si>
    <t>Calculations</t>
  </si>
  <si>
    <t>Ash corrected?</t>
  </si>
  <si>
    <t>NDFom</t>
  </si>
  <si>
    <t>NDFDom</t>
  </si>
  <si>
    <t>uNDFom</t>
  </si>
  <si>
    <t>Yes or No</t>
  </si>
  <si>
    <t>Correction</t>
  </si>
  <si>
    <t>Minus lag</t>
  </si>
  <si>
    <t>Rquired Inputs</t>
  </si>
  <si>
    <t>Calculated Outputs</t>
  </si>
  <si>
    <t>Legend</t>
  </si>
  <si>
    <t>Calculated</t>
  </si>
  <si>
    <t>Milk per Ton Index lbs milk/ton</t>
  </si>
  <si>
    <t>7h StarchD % starch</t>
  </si>
  <si>
    <t>DM Yield tons/acre</t>
  </si>
  <si>
    <t>Milk per Acre Index lb/acre</t>
  </si>
  <si>
    <t>User Input Guide</t>
  </si>
  <si>
    <t>Field Measure</t>
  </si>
  <si>
    <t>Lab Value</t>
  </si>
  <si>
    <t>Lab ID</t>
  </si>
  <si>
    <t>MILK</t>
  </si>
  <si>
    <t>University of Wisconsin Corn Silage Evaluation System</t>
  </si>
  <si>
    <t>Randy Shaver, Dept of Animal and Dairy Sciences</t>
  </si>
  <si>
    <t>Required Inputs</t>
  </si>
  <si>
    <t>Optional Inputs</t>
  </si>
  <si>
    <r>
      <t>NDFD</t>
    </r>
    <r>
      <rPr>
        <b/>
        <vertAlign val="subscript"/>
        <sz val="10"/>
        <color theme="1"/>
        <rFont val="Arial"/>
        <family val="2"/>
      </rPr>
      <t>om</t>
    </r>
    <r>
      <rPr>
        <b/>
        <sz val="10"/>
        <color theme="1"/>
        <rFont val="Arial"/>
        <family val="2"/>
      </rPr>
      <t xml:space="preserve"> % NDF</t>
    </r>
    <r>
      <rPr>
        <b/>
        <vertAlign val="subscript"/>
        <sz val="10"/>
        <color theme="1"/>
        <rFont val="Arial"/>
        <family val="2"/>
      </rPr>
      <t>om</t>
    </r>
  </si>
  <si>
    <t>Calculated/Input Values</t>
  </si>
  <si>
    <t>Timepoint        30 or 48 h</t>
  </si>
  <si>
    <r>
      <t>NDF</t>
    </r>
    <r>
      <rPr>
        <b/>
        <vertAlign val="subscript"/>
        <sz val="10"/>
        <color theme="1"/>
        <rFont val="Arial"/>
        <family val="2"/>
      </rPr>
      <t xml:space="preserve">om    </t>
    </r>
    <r>
      <rPr>
        <b/>
        <sz val="10"/>
        <color theme="1"/>
        <rFont val="Arial"/>
        <family val="2"/>
      </rPr>
      <t>% DM</t>
    </r>
  </si>
  <si>
    <t>Ash        % DM</t>
  </si>
  <si>
    <t>NDF       % DM</t>
  </si>
  <si>
    <t>NDFD     % NDF</t>
  </si>
  <si>
    <t>Ash       % DM</t>
  </si>
  <si>
    <r>
      <t>NDF</t>
    </r>
    <r>
      <rPr>
        <b/>
        <vertAlign val="subscript"/>
        <sz val="10"/>
        <color theme="1"/>
        <rFont val="Arial"/>
        <family val="2"/>
      </rPr>
      <t>om</t>
    </r>
    <r>
      <rPr>
        <b/>
        <sz val="10"/>
        <color theme="1"/>
        <rFont val="Arial"/>
        <family val="2"/>
      </rPr>
      <t xml:space="preserve">     % DM</t>
    </r>
  </si>
  <si>
    <r>
      <t>NDFD</t>
    </r>
    <r>
      <rPr>
        <b/>
        <vertAlign val="subscript"/>
        <sz val="10"/>
        <color theme="1"/>
        <rFont val="Arial"/>
        <family val="2"/>
      </rPr>
      <t>om</t>
    </r>
    <r>
      <rPr>
        <b/>
        <sz val="10"/>
        <color theme="1"/>
        <rFont val="Arial"/>
        <family val="2"/>
      </rPr>
      <t xml:space="preserve">    % NDF</t>
    </r>
    <r>
      <rPr>
        <b/>
        <vertAlign val="subscript"/>
        <sz val="10"/>
        <color theme="1"/>
        <rFont val="Arial"/>
        <family val="2"/>
      </rPr>
      <t>om</t>
    </r>
  </si>
  <si>
    <t>Starch   % DM</t>
  </si>
  <si>
    <t>EE          % DM</t>
  </si>
  <si>
    <t>CP            % DM</t>
  </si>
  <si>
    <r>
      <t>NDF</t>
    </r>
    <r>
      <rPr>
        <b/>
        <vertAlign val="subscript"/>
        <sz val="10"/>
        <color theme="1"/>
        <rFont val="Arial"/>
        <family val="2"/>
      </rPr>
      <t>om</t>
    </r>
    <r>
      <rPr>
        <b/>
        <sz val="10"/>
        <color theme="1"/>
        <rFont val="Arial"/>
        <family val="2"/>
      </rPr>
      <t xml:space="preserve">       % DM</t>
    </r>
  </si>
  <si>
    <r>
      <t>NDFD</t>
    </r>
    <r>
      <rPr>
        <b/>
        <vertAlign val="subscript"/>
        <sz val="10"/>
        <rFont val="Arial"/>
        <family val="2"/>
      </rPr>
      <t>om</t>
    </r>
    <r>
      <rPr>
        <b/>
        <sz val="10"/>
        <rFont val="Arial"/>
        <family val="2"/>
      </rPr>
      <t xml:space="preserve">    % NDF</t>
    </r>
    <r>
      <rPr>
        <b/>
        <vertAlign val="subscript"/>
        <sz val="10"/>
        <rFont val="Arial"/>
        <family val="2"/>
      </rPr>
      <t>om</t>
    </r>
  </si>
  <si>
    <t>2- Sample/Lab ID</t>
  </si>
  <si>
    <t>4- Starch</t>
  </si>
  <si>
    <t>measured yield from harvest (ton DM/acre).</t>
  </si>
  <si>
    <t>3- DM Yield (Dry Matter Yield)</t>
  </si>
  <si>
    <t>User or Lab specified ID for individual corn silage samples.</t>
  </si>
  <si>
    <t>Enter sample starch concentration on a % DM basis.</t>
  </si>
  <si>
    <t>5- StarchD (Starch Disappearance)</t>
  </si>
  <si>
    <t xml:space="preserve">Enter sample 7h starchD as a % of starch. Avoid using other starchD </t>
  </si>
  <si>
    <t xml:space="preserve">Enter sample EE concentration on a % DM basis. </t>
  </si>
  <si>
    <t xml:space="preserve">6- EE (Ether Extract) </t>
  </si>
  <si>
    <t xml:space="preserve">7- CP (Crude Protein) </t>
  </si>
  <si>
    <t xml:space="preserve">Enter sample CP concentration on a % DM basis. </t>
  </si>
  <si>
    <t>Cole Diepersloot, Dept of Animal and Dairy Sciences</t>
  </si>
  <si>
    <t xml:space="preserve">1- Fiber and Ash </t>
  </si>
  <si>
    <t>Fiber_Ash Inputs Tab</t>
  </si>
  <si>
    <t xml:space="preserve">If the Milk per Acre Index is desired, user should enter estimated or </t>
  </si>
  <si>
    <t>Inputs and Calculations</t>
  </si>
  <si>
    <t>Residual Organic Matter (ROM)</t>
  </si>
  <si>
    <t>ROM = 100 - (Ash + NDFom + starch + FA + CP)</t>
  </si>
  <si>
    <t>Protein</t>
  </si>
  <si>
    <t>Digestible protein calculated with RDP and dRUP book values</t>
  </si>
  <si>
    <t xml:space="preserve">from NASEM (2021) and CP concentration. </t>
  </si>
  <si>
    <t xml:space="preserve">Digestibility set at 0.91 according to Tebbe et al. (2017). </t>
  </si>
  <si>
    <t>Fatty Acids (FA)</t>
  </si>
  <si>
    <t xml:space="preserve">with 0.73 digestibility (NASEM, 2021). </t>
  </si>
  <si>
    <t xml:space="preserve">Ruminal digestibility is estimated with a single-pool </t>
  </si>
  <si>
    <t>ruminal digestibility according to Ferraretto et al. (2013).</t>
  </si>
  <si>
    <t>Neutral Detergent Fiber (NDF)</t>
  </si>
  <si>
    <t>model (potentially digestible and undigestible pools) where the</t>
  </si>
  <si>
    <t xml:space="preserve">rate of degradation is estimated from 30 or 48h NDFDom and </t>
  </si>
  <si>
    <t>mechanistic model where the rate of degradation is estimated</t>
  </si>
  <si>
    <t xml:space="preserve">additional 10% digestibility is assumed to occur in the hindgut. </t>
  </si>
  <si>
    <t>DM Intake</t>
  </si>
  <si>
    <t>Diet NEL</t>
  </si>
  <si>
    <t>The NEL of the diet is estimated according to NASEM (2021)</t>
  </si>
  <si>
    <t xml:space="preserve">considering the basal diet and corn silage. First, DE is </t>
  </si>
  <si>
    <t xml:space="preserve">calculated for both the basal diet and corn silage and corrected </t>
  </si>
  <si>
    <t>Corn Silage NEL</t>
  </si>
  <si>
    <t>for inclusion rate. Then, DE is converted to NEL using</t>
  </si>
  <si>
    <t xml:space="preserve">equations from NASEM (2021). </t>
  </si>
  <si>
    <t xml:space="preserve">Intake is estimated with the ration effects equation from </t>
  </si>
  <si>
    <t>NASEM (2021) considering the nutrient composition of the</t>
  </si>
  <si>
    <t xml:space="preserve">basal diet and corn silage. </t>
  </si>
  <si>
    <t>The NEL supplied by corn silage is estimated from diet NEL</t>
  </si>
  <si>
    <t xml:space="preserve">for endogenous fecal losses). </t>
  </si>
  <si>
    <t>using the ratio of corn silage DE to diet DE (neither corrected</t>
  </si>
  <si>
    <r>
      <t xml:space="preserve">concentrations. The concentration of uNDF should be entered on a </t>
    </r>
    <r>
      <rPr>
        <b/>
        <sz val="11"/>
        <color rgb="FFFF0000"/>
        <rFont val="Arial"/>
        <family val="2"/>
      </rPr>
      <t>DM</t>
    </r>
    <r>
      <rPr>
        <b/>
        <sz val="11"/>
        <color theme="1"/>
        <rFont val="Arial"/>
        <family val="2"/>
      </rPr>
      <t xml:space="preserve"> </t>
    </r>
  </si>
  <si>
    <t>NDF % DM</t>
  </si>
  <si>
    <t>NDFD % NDF</t>
  </si>
  <si>
    <r>
      <t xml:space="preserve">Enter sample NDF (neutral detergent fiber; </t>
    </r>
    <r>
      <rPr>
        <b/>
        <sz val="11"/>
        <color rgb="FFFF0000"/>
        <rFont val="Arial"/>
        <family val="2"/>
      </rPr>
      <t>% DM</t>
    </r>
    <r>
      <rPr>
        <b/>
        <sz val="11"/>
        <color theme="1"/>
        <rFont val="Arial"/>
        <family val="2"/>
      </rPr>
      <t xml:space="preserve">), NDFD (NDF </t>
    </r>
  </si>
  <si>
    <r>
      <t xml:space="preserve">digestibility; </t>
    </r>
    <r>
      <rPr>
        <b/>
        <sz val="11"/>
        <color rgb="FFFF0000"/>
        <rFont val="Arial"/>
        <family val="2"/>
      </rPr>
      <t>% NDF</t>
    </r>
    <r>
      <rPr>
        <b/>
        <sz val="11"/>
        <color theme="1"/>
        <rFont val="Arial"/>
        <family val="2"/>
      </rPr>
      <t xml:space="preserve">), uNDF (undigested NDF; </t>
    </r>
    <r>
      <rPr>
        <b/>
        <sz val="11"/>
        <color rgb="FFFF0000"/>
        <rFont val="Arial"/>
        <family val="2"/>
      </rPr>
      <t>% DM</t>
    </r>
    <r>
      <rPr>
        <b/>
        <sz val="11"/>
        <color theme="1"/>
        <rFont val="Arial"/>
        <family val="2"/>
      </rPr>
      <t xml:space="preserve">), and ash (% DM) </t>
    </r>
  </si>
  <si>
    <t>Luiz Ferraretto, Dept of Animal and Dairy Sciences</t>
  </si>
  <si>
    <t>from 7 h starchD. Total tract digestibility is estimated with</t>
  </si>
  <si>
    <t>Ruminal digestibility is estimated with a two-pool mechanistic</t>
  </si>
  <si>
    <t>CS NEL   Mcal/kg</t>
  </si>
  <si>
    <t>Milk per Ton Index kg milk/Mg</t>
  </si>
  <si>
    <t>DM Yield Mg/ha</t>
  </si>
  <si>
    <t>Corn Silage 1</t>
  </si>
  <si>
    <t>Corn Silage 2</t>
  </si>
  <si>
    <t>Corn Silage 3</t>
  </si>
  <si>
    <t>Corn Silage 4</t>
  </si>
  <si>
    <t>Corn Silage 5</t>
  </si>
  <si>
    <t>Corn Silage 6</t>
  </si>
  <si>
    <t>Corn Silage 7</t>
  </si>
  <si>
    <t>Corn Silage 8</t>
  </si>
  <si>
    <t>Corn Silage 9</t>
  </si>
  <si>
    <t>Corn Silage 10</t>
  </si>
  <si>
    <t>Corn Silage 11</t>
  </si>
  <si>
    <t>Corn Silage 12</t>
  </si>
  <si>
    <t>Corn Silage 13</t>
  </si>
  <si>
    <t>Corn Silage 14</t>
  </si>
  <si>
    <t>Corn Silage 15</t>
  </si>
  <si>
    <t>Corn Silage 16</t>
  </si>
  <si>
    <t>Corn Silage 17</t>
  </si>
  <si>
    <t>Corn Silage 18</t>
  </si>
  <si>
    <t>Corn Silage 19</t>
  </si>
  <si>
    <t>Corn Silage 20</t>
  </si>
  <si>
    <t>Corn Silage 21</t>
  </si>
  <si>
    <t>Corn Silage 22</t>
  </si>
  <si>
    <t>Corn Silage 23</t>
  </si>
  <si>
    <t>Corn Silage 24</t>
  </si>
  <si>
    <t>Corn Silage 25</t>
  </si>
  <si>
    <t>Corn Silage 26</t>
  </si>
  <si>
    <t>Corn Silage 27</t>
  </si>
  <si>
    <t>Corn Silage 28</t>
  </si>
  <si>
    <t>Corn Silage 29</t>
  </si>
  <si>
    <t>Corn Silage 30</t>
  </si>
  <si>
    <t>Corn Silage 31</t>
  </si>
  <si>
    <t>Corn Silage 32</t>
  </si>
  <si>
    <t>Corn Silage 33</t>
  </si>
  <si>
    <t>Corn Silage 34</t>
  </si>
  <si>
    <t>Corn Silage 35</t>
  </si>
  <si>
    <t>Corn Silage 36</t>
  </si>
  <si>
    <t>Corn Silage 37</t>
  </si>
  <si>
    <t>Corn Silage 38</t>
  </si>
  <si>
    <t>Corn Silage 39</t>
  </si>
  <si>
    <t>Corn Silage 40</t>
  </si>
  <si>
    <t>Corn Silage 41</t>
  </si>
  <si>
    <t>Corn Silage 42</t>
  </si>
  <si>
    <t>Corn Silage 43</t>
  </si>
  <si>
    <t>Corn Silage 44</t>
  </si>
  <si>
    <t>Corn Silage 45</t>
  </si>
  <si>
    <t>Corn Silage 46</t>
  </si>
  <si>
    <t>Corn Silage 47</t>
  </si>
  <si>
    <t>Corn Silage 48</t>
  </si>
  <si>
    <t>Corn Silage 49</t>
  </si>
  <si>
    <t>Corn Silage 50</t>
  </si>
  <si>
    <t>Corn Silage 51</t>
  </si>
  <si>
    <t>Corn Silage 52</t>
  </si>
  <si>
    <t>Corn Silage 53</t>
  </si>
  <si>
    <t>Corn Silage 54</t>
  </si>
  <si>
    <t>Corn Silage 55</t>
  </si>
  <si>
    <t>Corn Silage 56</t>
  </si>
  <si>
    <t>Corn Silage 57</t>
  </si>
  <si>
    <t>Corn Silage 58</t>
  </si>
  <si>
    <t>Corn Silage 59</t>
  </si>
  <si>
    <t>Corn Silage 60</t>
  </si>
  <si>
    <t>Corn Silage 61</t>
  </si>
  <si>
    <t>Corn Silage 62</t>
  </si>
  <si>
    <t>Corn Silage 63</t>
  </si>
  <si>
    <t>Corn Silage 64</t>
  </si>
  <si>
    <t>Corn Silage 65</t>
  </si>
  <si>
    <t>Corn Silage 66</t>
  </si>
  <si>
    <t>Corn Silage 67</t>
  </si>
  <si>
    <t>Corn Silage 68</t>
  </si>
  <si>
    <t>Corn Silage 69</t>
  </si>
  <si>
    <t>Corn Silage 70</t>
  </si>
  <si>
    <t>Corn Silage 71</t>
  </si>
  <si>
    <t>Corn Silage 72</t>
  </si>
  <si>
    <t>Corn Silage 73</t>
  </si>
  <si>
    <t>Corn Silage 74</t>
  </si>
  <si>
    <t>Corn Silage 75</t>
  </si>
  <si>
    <t>Corn Silage 76</t>
  </si>
  <si>
    <t>Corn Silage 77</t>
  </si>
  <si>
    <t>Corn Silage 78</t>
  </si>
  <si>
    <t>Corn Silage 79</t>
  </si>
  <si>
    <t>Corn Silage 80</t>
  </si>
  <si>
    <t>Corn Silage 81</t>
  </si>
  <si>
    <t>Corn Silage 82</t>
  </si>
  <si>
    <t>Corn Silage 83</t>
  </si>
  <si>
    <t>Corn Silage 84</t>
  </si>
  <si>
    <t>Corn Silage 85</t>
  </si>
  <si>
    <t>Corn Silage 86</t>
  </si>
  <si>
    <t>Corn Silage 87</t>
  </si>
  <si>
    <t>Corn Silage 88</t>
  </si>
  <si>
    <t>Corn Silage 89</t>
  </si>
  <si>
    <t>yes</t>
  </si>
  <si>
    <t>240 h uNDFom % DM</t>
  </si>
  <si>
    <t>240 h uNDF     % DM</t>
  </si>
  <si>
    <t>240 h uNDF % DM</t>
  </si>
  <si>
    <r>
      <t>240 h uNDF</t>
    </r>
    <r>
      <rPr>
        <b/>
        <vertAlign val="subscript"/>
        <sz val="10"/>
        <color theme="1"/>
        <rFont val="Arial"/>
        <family val="2"/>
      </rPr>
      <t>om</t>
    </r>
    <r>
      <rPr>
        <b/>
        <sz val="10"/>
        <color theme="1"/>
        <rFont val="Arial"/>
        <family val="2"/>
      </rPr>
      <t xml:space="preserve">      % DM</t>
    </r>
  </si>
  <si>
    <t xml:space="preserve">spreadsheet. Additionally, users should only use 240h uNDF in MILK </t>
  </si>
  <si>
    <t xml:space="preserve">2024, and avoid using other uNDF timepoints. See below for more </t>
  </si>
  <si>
    <t>mCal/d</t>
  </si>
  <si>
    <t>CS NEL Mcal/d</t>
  </si>
  <si>
    <t>NDFD30 Basis</t>
  </si>
  <si>
    <t>CS NEL   Mcal/d</t>
  </si>
  <si>
    <t>CS NEL   Mcal/lb</t>
  </si>
  <si>
    <t>Calculated Values</t>
  </si>
  <si>
    <t>Joe Lauer, Dept of Plant and Agroecosystem Sciences</t>
  </si>
  <si>
    <t>uNDF Corrected</t>
  </si>
  <si>
    <r>
      <rPr>
        <b/>
        <sz val="11"/>
        <color rgb="FFFF0000"/>
        <rFont val="Arial"/>
        <family val="2"/>
      </rPr>
      <t>basis</t>
    </r>
    <r>
      <rPr>
        <b/>
        <sz val="11"/>
        <color theme="1"/>
        <rFont val="Arial"/>
        <family val="2"/>
      </rPr>
      <t xml:space="preserve">, do not use uNDF as a percentage of NDF in the MILK2024 </t>
    </r>
  </si>
  <si>
    <t>specifics related to fiber inputs in MILK2024.</t>
  </si>
  <si>
    <t>MILK2024 Tabs</t>
  </si>
  <si>
    <t xml:space="preserve">timepoints in the MILK2024 spreadsheet. </t>
  </si>
  <si>
    <t xml:space="preserve">ROM replaced the non-starch NFC used in the MILK2006. </t>
  </si>
  <si>
    <t xml:space="preserve">Fatty acids calculated from EE (FA = EE - 1) similar to MILK2006 </t>
  </si>
  <si>
    <t xml:space="preserve">the undigestible pool is represented by 240h uNDFom. An </t>
  </si>
  <si>
    <t>Milk per Hectare Index kg/ha</t>
  </si>
  <si>
    <r>
      <t>240 h uNDF</t>
    </r>
    <r>
      <rPr>
        <b/>
        <vertAlign val="subscript"/>
        <sz val="10"/>
        <color theme="1"/>
        <rFont val="Arial"/>
        <family val="2"/>
      </rPr>
      <t>om</t>
    </r>
    <r>
      <rPr>
        <b/>
        <sz val="10"/>
        <color theme="1"/>
        <rFont val="Arial"/>
        <family val="2"/>
      </rPr>
      <t xml:space="preserve">   % DM</t>
    </r>
  </si>
  <si>
    <t>Inputs for MILK2024 Sheet</t>
  </si>
  <si>
    <t>From Fiber_Ash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</si>
</sst>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rgb="FF0070C0"/>
      <name val="Arial"/>
      <family val="2"/>
    </font>
    <font>
      <b/>
      <sz val="11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vertAlign val="subscript"/>
      <sz val="1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0"/>
      <color theme="4" tint="0.5999938962981048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5" borderId="0" xfId="0" applyFont="1" applyFill="1" applyProtection="1">
      <protection hidden="1"/>
    </xf>
    <xf numFmtId="0" fontId="7" fillId="5" borderId="0" xfId="0" applyFont="1" applyFill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0" fillId="5" borderId="0" xfId="0" applyFont="1" applyFill="1" applyAlignment="1" applyProtection="1">
      <alignment horizontal="center"/>
      <protection hidden="1"/>
    </xf>
    <xf numFmtId="0" fontId="13" fillId="5" borderId="0" xfId="0" applyFont="1" applyFill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0" fillId="0" borderId="0" xfId="0" applyProtection="1">
      <protection hidden="1"/>
    </xf>
    <xf numFmtId="0" fontId="8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14" fillId="5" borderId="0" xfId="0" applyFont="1" applyFill="1" applyProtection="1">
      <protection hidden="1"/>
    </xf>
    <xf numFmtId="0" fontId="0" fillId="5" borderId="0" xfId="0" applyFill="1"/>
    <xf numFmtId="0" fontId="13" fillId="5" borderId="0" xfId="0" applyFont="1" applyFill="1" applyAlignment="1">
      <alignment horizontal="center"/>
    </xf>
    <xf numFmtId="0" fontId="8" fillId="2" borderId="0" xfId="0" applyFont="1" applyFill="1"/>
    <xf numFmtId="0" fontId="0" fillId="2" borderId="0" xfId="0" applyFill="1"/>
    <xf numFmtId="0" fontId="10" fillId="2" borderId="0" xfId="0" applyFont="1" applyFill="1"/>
    <xf numFmtId="0" fontId="4" fillId="5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9" fillId="4" borderId="0" xfId="0" applyFont="1" applyFill="1" applyProtection="1"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Protection="1">
      <protection hidden="1"/>
    </xf>
    <xf numFmtId="0" fontId="4" fillId="4" borderId="2" xfId="0" applyFont="1" applyFill="1" applyBorder="1" applyProtection="1">
      <protection hidden="1"/>
    </xf>
    <xf numFmtId="0" fontId="4" fillId="5" borderId="10" xfId="0" applyFont="1" applyFill="1" applyBorder="1" applyProtection="1"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5" borderId="0" xfId="0" applyFont="1" applyFill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4" borderId="8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3" xfId="0" applyFont="1" applyBorder="1" applyProtection="1">
      <protection locked="0" hidden="1"/>
    </xf>
    <xf numFmtId="164" fontId="4" fillId="2" borderId="3" xfId="0" applyNumberFormat="1" applyFont="1" applyFill="1" applyBorder="1" applyAlignment="1" applyProtection="1">
      <alignment horizontal="center"/>
      <protection locked="0" hidden="1"/>
    </xf>
    <xf numFmtId="164" fontId="4" fillId="0" borderId="11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64" fontId="4" fillId="0" borderId="2" xfId="0" applyNumberFormat="1" applyFont="1" applyBorder="1" applyAlignment="1" applyProtection="1">
      <alignment horizontal="center"/>
      <protection hidden="1"/>
    </xf>
    <xf numFmtId="164" fontId="4" fillId="3" borderId="3" xfId="0" applyNumberFormat="1" applyFont="1" applyFill="1" applyBorder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5" borderId="0" xfId="0" applyFont="1" applyFill="1" applyProtection="1"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3" xfId="0" applyFont="1" applyBorder="1" applyAlignment="1" applyProtection="1">
      <alignment horizontal="center" wrapText="1"/>
      <protection hidden="1"/>
    </xf>
    <xf numFmtId="0" fontId="4" fillId="0" borderId="13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2" fontId="4" fillId="3" borderId="3" xfId="0" applyNumberFormat="1" applyFont="1" applyFill="1" applyBorder="1" applyAlignment="1" applyProtection="1">
      <alignment horizontal="center"/>
      <protection hidden="1"/>
    </xf>
    <xf numFmtId="1" fontId="4" fillId="3" borderId="3" xfId="0" applyNumberFormat="1" applyFont="1" applyFill="1" applyBorder="1" applyAlignment="1" applyProtection="1">
      <alignment horizontal="center"/>
      <protection hidden="1"/>
    </xf>
    <xf numFmtId="164" fontId="4" fillId="0" borderId="3" xfId="0" applyNumberFormat="1" applyFont="1" applyBorder="1" applyAlignment="1" applyProtection="1">
      <alignment horizontal="center"/>
      <protection hidden="1"/>
    </xf>
    <xf numFmtId="0" fontId="16" fillId="5" borderId="0" xfId="0" applyFont="1" applyFill="1" applyProtection="1"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5" fillId="4" borderId="14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/>
      <protection hidden="1"/>
    </xf>
    <xf numFmtId="0" fontId="5" fillId="4" borderId="4" xfId="0" applyFont="1" applyFill="1" applyBorder="1" applyAlignment="1" applyProtection="1">
      <alignment horizontal="center"/>
      <protection hidden="1"/>
    </xf>
    <xf numFmtId="0" fontId="5" fillId="4" borderId="6" xfId="0" applyFont="1" applyFill="1" applyBorder="1" applyAlignment="1" applyProtection="1">
      <alignment horizontal="center" vertical="center" wrapText="1"/>
      <protection hidden="1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2" fillId="4" borderId="10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5" fillId="5" borderId="5" xfId="0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</xdr:colOff>
      <xdr:row>15</xdr:row>
      <xdr:rowOff>3804</xdr:rowOff>
    </xdr:from>
    <xdr:to>
      <xdr:col>8</xdr:col>
      <xdr:colOff>0</xdr:colOff>
      <xdr:row>33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8CD361-1102-10EE-39CE-33800DE6CEFC}"/>
            </a:ext>
          </a:extLst>
        </xdr:cNvPr>
        <xdr:cNvSpPr txBox="1"/>
      </xdr:nvSpPr>
      <xdr:spPr>
        <a:xfrm>
          <a:off x="20955" y="2061204"/>
          <a:ext cx="4855845" cy="308229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en-US" sz="11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MILK2024, u</a:t>
          </a:r>
          <a:r>
            <a:rPr lang="en-US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sers</a:t>
          </a:r>
          <a:r>
            <a:rPr lang="en-US" sz="11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must define the NDFD timepoint used for analysis (30 or 48 h) of corn silage.</a:t>
          </a:r>
          <a:r>
            <a:rPr lang="en-US" sz="1100" b="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Timepoint can be selected at user discretion, as the predicted rate of degradation calculated from 48 h NDFD triggers a correction factor making it similar to the value predicted for 30 h NDFD.</a:t>
          </a:r>
          <a:r>
            <a:rPr lang="en-US" sz="11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The user</a:t>
          </a:r>
          <a:r>
            <a:rPr lang="en-US" sz="11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must also define if fiber inputs have been corrected for ash content (NDF</a:t>
          </a:r>
          <a:r>
            <a:rPr lang="en-US" sz="1100" b="1" baseline="-25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om</a:t>
          </a:r>
          <a:r>
            <a:rPr lang="en-US" sz="11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, NDFD</a:t>
          </a:r>
          <a:r>
            <a:rPr lang="en-US" sz="1100" b="1" baseline="-25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om</a:t>
          </a:r>
          <a:r>
            <a:rPr lang="en-US" sz="11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, and uNDF</a:t>
          </a:r>
          <a:r>
            <a:rPr lang="en-US" sz="1100" b="1" baseline="-25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om</a:t>
          </a:r>
          <a:r>
            <a:rPr lang="en-US" sz="11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) or not (NDF, NDFD, and uNDF) and enter yes or no individually in Fiber_Ash Inputs tab. 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If so, users should input fiber measurements into the 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Ash Corrected 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section in the Fiber_Ash Inputs tab (</a:t>
          </a:r>
          <a:r>
            <a:rPr lang="en-US" sz="11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and add ash concentration to the appropriate section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). If not, users should input fiber measurements into the 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Not Corrected for Ash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section of the Fiber_Ash Inputs tab 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en-US" sz="11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and still add ash concentration to the appropriate section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).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It is recommended that ash corrected fiber measurements be used, but if they are not available MILK2024 predicts ash corrected values from the uncorrected measurements and ash concentration of a given sample. 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Inputs for MILK2024</a:t>
          </a:r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 section in Fiber_Ash Inputs tab displays calculated/input fiber values depending on user specification (</a:t>
          </a:r>
          <a:r>
            <a:rPr lang="en-US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yes or no</a:t>
          </a:r>
          <a:r>
            <a:rPr lang="en-US" sz="1100" b="0" baseline="0">
              <a:latin typeface="Arial" panose="020B0604020202020204" pitchFamily="34" charset="0"/>
              <a:cs typeface="Arial" panose="020B0604020202020204" pitchFamily="34" charset="0"/>
            </a:rPr>
            <a:t>) for each fiber measurement, along with the ash input.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</xdr:colOff>
      <xdr:row>3</xdr:row>
      <xdr:rowOff>15240</xdr:rowOff>
    </xdr:from>
    <xdr:to>
      <xdr:col>4</xdr:col>
      <xdr:colOff>7620</xdr:colOff>
      <xdr:row>6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829273-C0DC-00CE-2A4B-8F759A8DB7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7523"/>
        <a:stretch/>
      </xdr:blipFill>
      <xdr:spPr>
        <a:xfrm>
          <a:off x="36194" y="624840"/>
          <a:ext cx="2127886" cy="6629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22603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CB95D3-443E-4F22-B201-FF92A1D01B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7523"/>
        <a:stretch/>
      </xdr:blipFill>
      <xdr:spPr>
        <a:xfrm>
          <a:off x="0" y="609600"/>
          <a:ext cx="1954273" cy="5981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1648</xdr:colOff>
      <xdr:row>6</xdr:row>
      <xdr:rowOff>59055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134724-7826-4B2B-8F39-92E9802DBB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7523"/>
        <a:stretch/>
      </xdr:blipFill>
      <xdr:spPr>
        <a:xfrm>
          <a:off x="0" y="619125"/>
          <a:ext cx="1954273" cy="598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7F08B-E45C-411A-945C-85A90761DDD0}">
  <dimension ref="A1:M58"/>
  <sheetViews>
    <sheetView workbookViewId="0">
      <pane ySplit="3" topLeftCell="A4" activePane="bottomLeft" state="frozen"/>
      <selection pane="bottomLeft" activeCell="L14" sqref="L14"/>
    </sheetView>
  </sheetViews>
  <sheetFormatPr defaultColWidth="8.85546875" defaultRowHeight="14.25" x14ac:dyDescent="0.2"/>
  <cols>
    <col min="1" max="16384" width="8.85546875" style="3"/>
  </cols>
  <sheetData>
    <row r="1" spans="1:13" ht="18" x14ac:dyDescent="0.25">
      <c r="A1" s="1"/>
      <c r="B1" s="1"/>
      <c r="C1" s="1"/>
      <c r="D1" s="2" t="s">
        <v>112</v>
      </c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45" customHeight="1" x14ac:dyDescent="0.25">
      <c r="A3" s="82" t="s">
        <v>119</v>
      </c>
      <c r="B3" s="82"/>
      <c r="C3" s="82"/>
      <c r="D3" s="82"/>
      <c r="E3" s="83" t="s">
        <v>120</v>
      </c>
      <c r="F3" s="83"/>
      <c r="G3" s="83"/>
      <c r="H3" s="83"/>
      <c r="I3" s="1"/>
      <c r="J3" s="1"/>
      <c r="K3" s="1"/>
      <c r="L3" s="1"/>
      <c r="M3" s="1"/>
    </row>
    <row r="4" spans="1:13" ht="15" x14ac:dyDescent="0.25">
      <c r="A4" s="1"/>
      <c r="B4" s="4"/>
      <c r="C4" s="1"/>
      <c r="D4" s="1"/>
      <c r="E4" s="4"/>
      <c r="F4" s="1"/>
      <c r="G4" s="1"/>
      <c r="H4" s="1"/>
      <c r="I4" s="1"/>
      <c r="J4" s="1"/>
      <c r="K4" s="1"/>
      <c r="L4" s="1"/>
      <c r="M4" s="1"/>
    </row>
    <row r="5" spans="1:13" ht="18" x14ac:dyDescent="0.25">
      <c r="A5" s="1"/>
      <c r="B5" s="4"/>
      <c r="C5" s="1"/>
      <c r="D5" s="5" t="s">
        <v>150</v>
      </c>
      <c r="E5" s="4"/>
      <c r="F5" s="1"/>
      <c r="G5" s="1"/>
      <c r="H5" s="1"/>
      <c r="I5" s="1"/>
      <c r="J5" s="1"/>
      <c r="K5" s="1"/>
      <c r="L5" s="1"/>
      <c r="M5" s="1"/>
    </row>
    <row r="6" spans="1:13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x14ac:dyDescent="0.25">
      <c r="A7" s="6" t="s">
        <v>149</v>
      </c>
      <c r="B7" s="7"/>
      <c r="C7" s="7"/>
      <c r="D7" s="7"/>
      <c r="E7" s="7"/>
      <c r="F7" s="7"/>
      <c r="G7" s="7"/>
      <c r="H7" s="7"/>
      <c r="I7" s="1"/>
      <c r="J7" s="1"/>
      <c r="K7" s="1"/>
      <c r="L7" s="1"/>
      <c r="M7" s="1"/>
    </row>
    <row r="8" spans="1:13" ht="15" x14ac:dyDescent="0.25">
      <c r="A8" s="8" t="s">
        <v>185</v>
      </c>
      <c r="B8" s="7"/>
      <c r="C8" s="7"/>
      <c r="D8" s="7"/>
      <c r="E8" s="7"/>
      <c r="F8" s="7"/>
      <c r="G8" s="7"/>
      <c r="H8" s="7"/>
      <c r="I8" s="1"/>
      <c r="J8" s="1"/>
      <c r="K8" s="1"/>
      <c r="L8" s="1"/>
      <c r="M8" s="1"/>
    </row>
    <row r="9" spans="1:13" ht="15" x14ac:dyDescent="0.25">
      <c r="A9" s="8" t="s">
        <v>186</v>
      </c>
      <c r="B9" s="7"/>
      <c r="C9" s="7"/>
      <c r="D9" s="7"/>
      <c r="E9" s="7"/>
      <c r="F9" s="7"/>
      <c r="G9" s="7"/>
      <c r="H9" s="7"/>
      <c r="I9" s="1"/>
      <c r="J9" s="1"/>
      <c r="K9" s="1"/>
      <c r="L9" s="1"/>
      <c r="M9" s="1"/>
    </row>
    <row r="10" spans="1:13" ht="15" x14ac:dyDescent="0.25">
      <c r="A10" s="8" t="s">
        <v>182</v>
      </c>
      <c r="B10" s="7"/>
      <c r="C10" s="7"/>
      <c r="D10" s="7"/>
      <c r="E10" s="7"/>
      <c r="F10" s="7"/>
      <c r="G10" s="7"/>
      <c r="H10" s="7"/>
      <c r="I10" s="1"/>
      <c r="J10" s="1"/>
      <c r="K10" s="1"/>
      <c r="L10" s="1"/>
      <c r="M10" s="1"/>
    </row>
    <row r="11" spans="1:13" ht="15" x14ac:dyDescent="0.25">
      <c r="A11" s="8" t="s">
        <v>297</v>
      </c>
      <c r="B11" s="7"/>
      <c r="C11" s="7"/>
      <c r="D11" s="7"/>
      <c r="E11" s="7"/>
      <c r="F11" s="7"/>
      <c r="G11" s="7"/>
      <c r="H11" s="7"/>
      <c r="I11" s="1"/>
      <c r="J11" s="1"/>
      <c r="K11" s="1"/>
      <c r="L11" s="1"/>
      <c r="M11" s="1"/>
    </row>
    <row r="12" spans="1:13" ht="15" x14ac:dyDescent="0.25">
      <c r="A12" s="8" t="s">
        <v>287</v>
      </c>
      <c r="B12" s="7"/>
      <c r="C12" s="7"/>
      <c r="D12" s="7"/>
      <c r="E12" s="7"/>
      <c r="F12" s="7"/>
      <c r="G12" s="7"/>
      <c r="H12" s="7"/>
      <c r="I12" s="1"/>
      <c r="J12" s="1"/>
      <c r="K12" s="1"/>
      <c r="L12" s="1"/>
      <c r="M12" s="1"/>
    </row>
    <row r="13" spans="1:13" ht="15" x14ac:dyDescent="0.25">
      <c r="A13" s="8" t="s">
        <v>288</v>
      </c>
      <c r="B13" s="7"/>
      <c r="C13" s="7"/>
      <c r="D13" s="7"/>
      <c r="E13" s="7"/>
      <c r="F13" s="7"/>
      <c r="G13" s="7"/>
      <c r="H13" s="7"/>
      <c r="I13" s="1"/>
      <c r="J13" s="1"/>
      <c r="K13" s="1"/>
      <c r="L13" s="1"/>
      <c r="M13" s="1"/>
    </row>
    <row r="14" spans="1:13" ht="15" x14ac:dyDescent="0.25">
      <c r="A14" s="8" t="s">
        <v>298</v>
      </c>
      <c r="B14" s="7"/>
      <c r="C14" s="7"/>
      <c r="D14" s="7"/>
      <c r="E14" s="7"/>
      <c r="F14" s="7"/>
      <c r="G14" s="7"/>
      <c r="H14" s="7"/>
      <c r="I14" s="1"/>
      <c r="J14" s="1"/>
      <c r="K14" s="1"/>
      <c r="L14" s="1"/>
      <c r="M14" s="1"/>
    </row>
    <row r="15" spans="1:1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10" customFormat="1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8" x14ac:dyDescent="0.25">
      <c r="A35" s="1"/>
      <c r="B35" s="1"/>
      <c r="C35" s="1"/>
      <c r="D35" s="5" t="s">
        <v>299</v>
      </c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 x14ac:dyDescent="0.25">
      <c r="A37" s="11" t="s">
        <v>136</v>
      </c>
      <c r="B37" s="12"/>
      <c r="C37" s="12"/>
      <c r="D37" s="12"/>
      <c r="E37" s="12"/>
      <c r="F37" s="12"/>
      <c r="G37" s="12"/>
      <c r="H37" s="12"/>
      <c r="I37" s="1"/>
      <c r="J37" s="1"/>
      <c r="K37" s="1"/>
      <c r="L37" s="1"/>
      <c r="M37" s="1"/>
    </row>
    <row r="38" spans="1:13" ht="15" x14ac:dyDescent="0.25">
      <c r="A38" s="13" t="s">
        <v>140</v>
      </c>
      <c r="B38" s="12"/>
      <c r="C38" s="12"/>
      <c r="D38" s="12"/>
      <c r="E38" s="12"/>
      <c r="F38" s="12"/>
      <c r="G38" s="12"/>
      <c r="H38" s="12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 x14ac:dyDescent="0.25">
      <c r="A40" s="11" t="s">
        <v>139</v>
      </c>
      <c r="B40" s="12"/>
      <c r="C40" s="12"/>
      <c r="D40" s="12"/>
      <c r="E40" s="12"/>
      <c r="F40" s="12"/>
      <c r="G40" s="12"/>
      <c r="H40" s="12"/>
      <c r="I40" s="1"/>
      <c r="J40" s="1"/>
      <c r="K40" s="1"/>
      <c r="L40" s="1"/>
      <c r="M40" s="1"/>
    </row>
    <row r="41" spans="1:13" ht="15" x14ac:dyDescent="0.25">
      <c r="A41" s="13" t="s">
        <v>151</v>
      </c>
      <c r="B41" s="12"/>
      <c r="C41" s="12"/>
      <c r="D41" s="12"/>
      <c r="E41" s="12"/>
      <c r="F41" s="12"/>
      <c r="G41" s="12"/>
      <c r="H41" s="12"/>
      <c r="I41" s="1"/>
      <c r="J41" s="1"/>
      <c r="K41" s="1"/>
      <c r="L41" s="1"/>
      <c r="M41" s="1"/>
    </row>
    <row r="42" spans="1:13" ht="15" x14ac:dyDescent="0.25">
      <c r="A42" s="13" t="s">
        <v>138</v>
      </c>
      <c r="B42" s="12"/>
      <c r="C42" s="12"/>
      <c r="D42" s="12"/>
      <c r="E42" s="12"/>
      <c r="F42" s="12"/>
      <c r="G42" s="12"/>
      <c r="H42" s="12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 x14ac:dyDescent="0.25">
      <c r="A44" s="6" t="s">
        <v>137</v>
      </c>
      <c r="B44" s="7"/>
      <c r="C44" s="7"/>
      <c r="D44" s="7"/>
      <c r="E44" s="7"/>
      <c r="F44" s="7"/>
      <c r="G44" s="7"/>
      <c r="H44" s="7"/>
      <c r="I44" s="1"/>
      <c r="J44" s="1"/>
      <c r="K44" s="1"/>
      <c r="L44" s="1"/>
      <c r="M44" s="1"/>
    </row>
    <row r="45" spans="1:13" ht="15" x14ac:dyDescent="0.25">
      <c r="A45" s="8" t="s">
        <v>141</v>
      </c>
      <c r="B45" s="7"/>
      <c r="C45" s="7"/>
      <c r="D45" s="7"/>
      <c r="E45" s="7"/>
      <c r="F45" s="7"/>
      <c r="G45" s="7"/>
      <c r="H45" s="7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 x14ac:dyDescent="0.25">
      <c r="A47" s="6" t="s">
        <v>142</v>
      </c>
      <c r="B47" s="7"/>
      <c r="C47" s="7"/>
      <c r="D47" s="7"/>
      <c r="E47" s="7"/>
      <c r="F47" s="7"/>
      <c r="G47" s="7"/>
      <c r="H47" s="7"/>
      <c r="I47" s="1"/>
      <c r="J47" s="1"/>
      <c r="K47" s="1"/>
      <c r="L47" s="1"/>
      <c r="M47" s="1"/>
    </row>
    <row r="48" spans="1:13" ht="15" x14ac:dyDescent="0.25">
      <c r="A48" s="8" t="s">
        <v>143</v>
      </c>
      <c r="B48" s="7"/>
      <c r="C48" s="7"/>
      <c r="D48" s="7"/>
      <c r="E48" s="7"/>
      <c r="F48" s="7"/>
      <c r="G48" s="7"/>
      <c r="H48" s="7"/>
      <c r="I48" s="1"/>
      <c r="J48" s="1"/>
      <c r="K48" s="1"/>
      <c r="L48" s="1"/>
      <c r="M48" s="1"/>
    </row>
    <row r="49" spans="1:13" ht="15" x14ac:dyDescent="0.25">
      <c r="A49" s="8" t="s">
        <v>300</v>
      </c>
      <c r="B49" s="7"/>
      <c r="C49" s="7"/>
      <c r="D49" s="7"/>
      <c r="E49" s="7"/>
      <c r="F49" s="7"/>
      <c r="G49" s="7"/>
      <c r="H49" s="7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x14ac:dyDescent="0.25">
      <c r="A51" s="6" t="s">
        <v>145</v>
      </c>
      <c r="B51" s="7"/>
      <c r="C51" s="7"/>
      <c r="D51" s="7"/>
      <c r="E51" s="7"/>
      <c r="F51" s="7"/>
      <c r="G51" s="7"/>
      <c r="H51" s="7"/>
      <c r="I51" s="1"/>
      <c r="J51" s="1"/>
      <c r="K51" s="1"/>
      <c r="L51" s="1"/>
      <c r="M51" s="1"/>
    </row>
    <row r="52" spans="1:13" ht="15" x14ac:dyDescent="0.25">
      <c r="A52" s="8" t="s">
        <v>144</v>
      </c>
      <c r="B52" s="7"/>
      <c r="C52" s="7"/>
      <c r="D52" s="7"/>
      <c r="E52" s="7"/>
      <c r="F52" s="7"/>
      <c r="G52" s="7"/>
      <c r="H52" s="7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x14ac:dyDescent="0.25">
      <c r="A54" s="6" t="s">
        <v>146</v>
      </c>
      <c r="B54" s="7"/>
      <c r="C54" s="7"/>
      <c r="D54" s="7"/>
      <c r="E54" s="7"/>
      <c r="F54" s="7"/>
      <c r="G54" s="7"/>
      <c r="H54" s="7"/>
      <c r="I54" s="1"/>
      <c r="J54" s="1"/>
      <c r="K54" s="1"/>
      <c r="L54" s="1"/>
      <c r="M54" s="1"/>
    </row>
    <row r="55" spans="1:13" ht="15" x14ac:dyDescent="0.25">
      <c r="A55" s="8" t="s">
        <v>147</v>
      </c>
      <c r="B55" s="7"/>
      <c r="C55" s="7"/>
      <c r="D55" s="7"/>
      <c r="E55" s="7"/>
      <c r="F55" s="7"/>
      <c r="G55" s="7"/>
      <c r="H55" s="7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"/>
      <c r="M57" s="1"/>
    </row>
    <row r="58" spans="1:13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"/>
      <c r="M58" s="1"/>
    </row>
  </sheetData>
  <sheetProtection algorithmName="SHA-512" hashValue="e9tcVFH1eiUS59XjOlF1ARtfxop45k9ebgJHnHGgNIdXxXZQPSfUKxUgcLdJGjfU4kcnVJPvWnURIASb6HFORQ==" saltValue="Wm0xTfYtXJ0/7vN/lnb56g==" spinCount="100000" sheet="1" objects="1" scenarios="1"/>
  <mergeCells count="2">
    <mergeCell ref="A3:D3"/>
    <mergeCell ref="E3:H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7E03B-6E24-47A3-85FD-D312AEB2C152}">
  <dimension ref="A1:Z102"/>
  <sheetViews>
    <sheetView zoomScaleNormal="100" workbookViewId="0">
      <selection activeCell="U10" sqref="U10"/>
    </sheetView>
  </sheetViews>
  <sheetFormatPr defaultColWidth="8.85546875" defaultRowHeight="12.75" x14ac:dyDescent="0.2"/>
  <cols>
    <col min="1" max="1" width="16.28515625" style="21" customWidth="1"/>
    <col min="2" max="2" width="15.28515625" style="21" customWidth="1"/>
    <col min="3" max="3" width="9.5703125" style="21" hidden="1" customWidth="1"/>
    <col min="4" max="4" width="8.7109375" style="21" hidden="1" customWidth="1"/>
    <col min="5" max="5" width="3.7109375" style="21" customWidth="1"/>
    <col min="6" max="6" width="21" style="21" customWidth="1"/>
    <col min="7" max="7" width="9.7109375" style="21" customWidth="1"/>
    <col min="8" max="10" width="8.85546875" style="21"/>
    <col min="11" max="11" width="3.7109375" style="21" customWidth="1"/>
    <col min="12" max="12" width="8.85546875" style="21"/>
    <col min="13" max="13" width="3.7109375" style="21" customWidth="1"/>
    <col min="14" max="16" width="8.85546875" style="21"/>
    <col min="17" max="17" width="7.140625" style="21" hidden="1" customWidth="1"/>
    <col min="18" max="18" width="8.42578125" style="21" hidden="1" customWidth="1"/>
    <col min="19" max="19" width="8.140625" style="21" hidden="1" customWidth="1"/>
    <col min="20" max="20" width="3.28515625" style="21" customWidth="1"/>
    <col min="21" max="21" width="8.5703125" style="21" customWidth="1"/>
    <col min="22" max="24" width="10" style="21" bestFit="1" customWidth="1"/>
    <col min="25" max="25" width="2.85546875" style="21" customWidth="1"/>
    <col min="26" max="26" width="17.7109375" style="21" bestFit="1" customWidth="1"/>
    <col min="27" max="16384" width="8.85546875" style="21"/>
  </cols>
  <sheetData>
    <row r="1" spans="1:26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8" x14ac:dyDescent="0.25">
      <c r="A2" s="97" t="s">
        <v>116</v>
      </c>
      <c r="B2" s="98"/>
      <c r="E2" s="102" t="s">
        <v>117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20"/>
      <c r="V2" s="20"/>
      <c r="W2" s="20"/>
      <c r="X2" s="20"/>
      <c r="Y2" s="20"/>
      <c r="Z2" s="20"/>
    </row>
    <row r="3" spans="1:26" ht="18" x14ac:dyDescent="0.25">
      <c r="A3" s="99">
        <v>2024</v>
      </c>
      <c r="B3" s="100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20"/>
      <c r="V3" s="20"/>
      <c r="W3" s="20"/>
      <c r="X3" s="20"/>
      <c r="Y3" s="20"/>
      <c r="Z3" s="20"/>
    </row>
    <row r="4" spans="1:26" ht="14.25" x14ac:dyDescent="0.2">
      <c r="A4" s="101"/>
      <c r="B4" s="101"/>
      <c r="E4" s="22" t="s">
        <v>148</v>
      </c>
      <c r="F4" s="22"/>
      <c r="G4" s="22"/>
      <c r="H4" s="23"/>
      <c r="I4" s="23"/>
      <c r="J4" s="23"/>
      <c r="K4" s="23"/>
      <c r="L4" s="23"/>
      <c r="M4" s="23"/>
      <c r="N4" s="23"/>
      <c r="O4" s="23"/>
      <c r="P4" s="24"/>
      <c r="Q4" s="23"/>
      <c r="R4" s="24"/>
      <c r="S4" s="24"/>
      <c r="T4" s="25"/>
      <c r="U4" s="20"/>
      <c r="V4" s="20"/>
      <c r="W4" s="20"/>
      <c r="X4" s="20"/>
      <c r="Y4" s="20"/>
      <c r="Z4" s="20"/>
    </row>
    <row r="5" spans="1:26" ht="14.25" x14ac:dyDescent="0.2">
      <c r="A5" s="101"/>
      <c r="B5" s="101"/>
      <c r="E5" s="22" t="s">
        <v>118</v>
      </c>
      <c r="F5" s="22"/>
      <c r="G5" s="22"/>
      <c r="H5" s="23"/>
      <c r="I5" s="23"/>
      <c r="J5" s="23"/>
      <c r="K5" s="23"/>
      <c r="L5" s="23"/>
      <c r="M5" s="23"/>
      <c r="N5" s="23"/>
      <c r="O5" s="23"/>
      <c r="P5" s="24"/>
      <c r="Q5" s="23"/>
      <c r="R5" s="24"/>
      <c r="S5" s="24"/>
      <c r="T5" s="25"/>
      <c r="U5" s="103" t="s">
        <v>106</v>
      </c>
      <c r="V5" s="104"/>
      <c r="W5" s="104"/>
      <c r="X5" s="104"/>
      <c r="Y5" s="20"/>
      <c r="Z5" s="20"/>
    </row>
    <row r="6" spans="1:26" ht="14.25" x14ac:dyDescent="0.2">
      <c r="A6" s="101"/>
      <c r="B6" s="101"/>
      <c r="E6" s="22" t="s">
        <v>295</v>
      </c>
      <c r="F6" s="12"/>
      <c r="G6" s="12"/>
      <c r="H6" s="23"/>
      <c r="I6" s="23"/>
      <c r="J6" s="23"/>
      <c r="K6" s="23"/>
      <c r="L6" s="23"/>
      <c r="M6" s="23"/>
      <c r="N6" s="23"/>
      <c r="O6" s="23"/>
      <c r="P6" s="24"/>
      <c r="Q6" s="23"/>
      <c r="R6" s="24"/>
      <c r="S6" s="24"/>
      <c r="T6" s="25"/>
      <c r="U6" s="105" t="s">
        <v>104</v>
      </c>
      <c r="V6" s="105"/>
      <c r="W6" s="105"/>
      <c r="X6" s="105"/>
      <c r="Y6" s="20"/>
      <c r="Z6" s="20"/>
    </row>
    <row r="7" spans="1:26" ht="14.25" x14ac:dyDescent="0.2">
      <c r="A7" s="101"/>
      <c r="B7" s="101"/>
      <c r="E7" s="22" t="s">
        <v>187</v>
      </c>
      <c r="F7" s="12"/>
      <c r="G7" s="12"/>
      <c r="H7" s="23"/>
      <c r="I7" s="23"/>
      <c r="J7" s="23"/>
      <c r="K7" s="23"/>
      <c r="L7" s="23"/>
      <c r="M7" s="23"/>
      <c r="N7" s="23"/>
      <c r="O7" s="23"/>
      <c r="P7" s="24"/>
      <c r="Q7" s="23"/>
      <c r="R7" s="24"/>
      <c r="S7" s="24"/>
      <c r="T7" s="25"/>
      <c r="U7" s="106" t="s">
        <v>122</v>
      </c>
      <c r="V7" s="106"/>
      <c r="W7" s="106"/>
      <c r="X7" s="106"/>
      <c r="Y7" s="20"/>
      <c r="Z7" s="20"/>
    </row>
    <row r="8" spans="1:26" x14ac:dyDescent="0.2">
      <c r="A8" s="20"/>
      <c r="B8" s="20"/>
      <c r="E8" s="26"/>
      <c r="F8" s="26"/>
      <c r="G8" s="26"/>
      <c r="H8" s="90" t="s">
        <v>94</v>
      </c>
      <c r="I8" s="91"/>
      <c r="J8" s="92"/>
      <c r="K8" s="26"/>
      <c r="L8" s="26"/>
      <c r="M8" s="26"/>
      <c r="N8" s="90" t="s">
        <v>95</v>
      </c>
      <c r="O8" s="91"/>
      <c r="P8" s="92"/>
      <c r="Q8" s="93" t="s">
        <v>96</v>
      </c>
      <c r="R8" s="94"/>
      <c r="S8" s="95"/>
      <c r="T8" s="26"/>
      <c r="U8" s="20"/>
      <c r="V8" s="20"/>
      <c r="W8" s="20"/>
      <c r="X8" s="20"/>
      <c r="Y8" s="20"/>
      <c r="Z8" s="20"/>
    </row>
    <row r="9" spans="1:26" x14ac:dyDescent="0.2">
      <c r="A9" s="20"/>
      <c r="B9" s="27"/>
      <c r="E9" s="20"/>
      <c r="F9" s="20"/>
      <c r="G9" s="20"/>
      <c r="H9" s="28" t="s">
        <v>114</v>
      </c>
      <c r="I9" s="28" t="s">
        <v>114</v>
      </c>
      <c r="J9" s="28" t="s">
        <v>114</v>
      </c>
      <c r="K9" s="20"/>
      <c r="L9" s="29" t="s">
        <v>114</v>
      </c>
      <c r="M9" s="30"/>
      <c r="N9" s="29" t="s">
        <v>114</v>
      </c>
      <c r="O9" s="28" t="s">
        <v>114</v>
      </c>
      <c r="P9" s="28" t="s">
        <v>114</v>
      </c>
      <c r="Q9" s="31"/>
      <c r="R9" s="32"/>
      <c r="S9" s="33"/>
      <c r="T9" s="20"/>
      <c r="U9" s="96" t="s">
        <v>306</v>
      </c>
      <c r="V9" s="96"/>
      <c r="W9" s="96"/>
      <c r="X9" s="96"/>
      <c r="Y9" s="20"/>
      <c r="Z9" s="20"/>
    </row>
    <row r="10" spans="1:26" s="43" customFormat="1" ht="43.15" customHeight="1" x14ac:dyDescent="0.25">
      <c r="A10" s="88" t="s">
        <v>123</v>
      </c>
      <c r="B10" s="89"/>
      <c r="C10" s="35"/>
      <c r="D10" s="35"/>
      <c r="E10" s="34"/>
      <c r="F10" s="36" t="s">
        <v>52</v>
      </c>
      <c r="G10" s="36" t="s">
        <v>115</v>
      </c>
      <c r="H10" s="37" t="s">
        <v>124</v>
      </c>
      <c r="I10" s="37" t="s">
        <v>121</v>
      </c>
      <c r="J10" s="37" t="s">
        <v>283</v>
      </c>
      <c r="K10" s="34"/>
      <c r="L10" s="37" t="s">
        <v>125</v>
      </c>
      <c r="M10" s="38"/>
      <c r="N10" s="37" t="s">
        <v>126</v>
      </c>
      <c r="O10" s="37" t="s">
        <v>127</v>
      </c>
      <c r="P10" s="37" t="s">
        <v>284</v>
      </c>
      <c r="Q10" s="39" t="s">
        <v>98</v>
      </c>
      <c r="R10" s="40" t="s">
        <v>99</v>
      </c>
      <c r="S10" s="41" t="s">
        <v>100</v>
      </c>
      <c r="T10" s="34"/>
      <c r="U10" s="42" t="s">
        <v>128</v>
      </c>
      <c r="V10" s="42" t="s">
        <v>129</v>
      </c>
      <c r="W10" s="42" t="s">
        <v>130</v>
      </c>
      <c r="X10" s="42" t="s">
        <v>305</v>
      </c>
      <c r="Y10" s="34"/>
      <c r="Z10" s="34"/>
    </row>
    <row r="11" spans="1:26" x14ac:dyDescent="0.2">
      <c r="A11" s="44" t="s">
        <v>184</v>
      </c>
      <c r="B11" s="45">
        <v>30</v>
      </c>
      <c r="C11" s="46"/>
      <c r="D11" s="46"/>
      <c r="E11" s="20"/>
      <c r="F11" s="47" t="s">
        <v>193</v>
      </c>
      <c r="G11" s="47"/>
      <c r="H11" s="48">
        <v>35.6</v>
      </c>
      <c r="I11" s="48">
        <v>64.2</v>
      </c>
      <c r="J11" s="48">
        <v>7.9</v>
      </c>
      <c r="K11" s="20"/>
      <c r="L11" s="48">
        <v>3.8</v>
      </c>
      <c r="M11" s="30"/>
      <c r="N11" s="48">
        <v>35.6</v>
      </c>
      <c r="O11" s="48">
        <v>64.2</v>
      </c>
      <c r="P11" s="48">
        <v>7.9</v>
      </c>
      <c r="Q11" s="49">
        <f>-0.013+(N11*0.986)+(L11*-0.021)</f>
        <v>35.008800000000001</v>
      </c>
      <c r="R11" s="50">
        <f>-1.37+(O11*1.03)+(L11*0.09)</f>
        <v>65.097999999999999</v>
      </c>
      <c r="S11" s="51">
        <f>-0.3+(P11*0.9996)+(L11*-0.0369)</f>
        <v>7.4566200000000009</v>
      </c>
      <c r="T11" s="20"/>
      <c r="U11" s="52">
        <f>L11</f>
        <v>3.8</v>
      </c>
      <c r="V11" s="52">
        <f t="shared" ref="V11:V40" si="0">IF($B$17="Yes",H11,IF($B$17="No",Q11))</f>
        <v>35.6</v>
      </c>
      <c r="W11" s="52">
        <f t="shared" ref="W11:W40" si="1">IF($B$18="Yes",I11,IF($B$18="No",R11))</f>
        <v>64.2</v>
      </c>
      <c r="X11" s="52">
        <f t="shared" ref="X11:X40" si="2">IF($B$19="Yes",J11,IF($B$19="No",S11))</f>
        <v>7.9</v>
      </c>
      <c r="Y11" s="20"/>
      <c r="Z11" s="20"/>
    </row>
    <row r="12" spans="1:26" x14ac:dyDescent="0.2">
      <c r="A12" s="20"/>
      <c r="B12" s="20"/>
      <c r="E12" s="20"/>
      <c r="F12" s="47" t="s">
        <v>194</v>
      </c>
      <c r="G12" s="47"/>
      <c r="H12" s="48">
        <v>37</v>
      </c>
      <c r="I12" s="48">
        <v>64.2</v>
      </c>
      <c r="J12" s="48">
        <v>7.9</v>
      </c>
      <c r="K12" s="20"/>
      <c r="L12" s="48">
        <v>3.8</v>
      </c>
      <c r="M12" s="30"/>
      <c r="N12" s="48">
        <v>39.4</v>
      </c>
      <c r="O12" s="48">
        <v>59.1</v>
      </c>
      <c r="P12" s="48">
        <v>10.3</v>
      </c>
      <c r="Q12" s="49">
        <f t="shared" ref="Q12:Q27" si="3">-0.013+(N12*0.986)+(L12*-0.021)</f>
        <v>38.755600000000001</v>
      </c>
      <c r="R12" s="50">
        <f t="shared" ref="R12:R27" si="4">-1.37+(O12*1.03)+(L12*0.09)</f>
        <v>59.845000000000006</v>
      </c>
      <c r="S12" s="51">
        <f t="shared" ref="S12:S27" si="5">-0.3+(P12*0.9996)+(L12*-0.0369)</f>
        <v>9.8556600000000003</v>
      </c>
      <c r="T12" s="20"/>
      <c r="U12" s="52">
        <f t="shared" ref="U12:U27" si="6">L12</f>
        <v>3.8</v>
      </c>
      <c r="V12" s="52">
        <f t="shared" si="0"/>
        <v>37</v>
      </c>
      <c r="W12" s="52">
        <f t="shared" si="1"/>
        <v>64.2</v>
      </c>
      <c r="X12" s="52">
        <f t="shared" si="2"/>
        <v>7.9</v>
      </c>
      <c r="Y12" s="20"/>
      <c r="Z12" s="20"/>
    </row>
    <row r="13" spans="1:26" x14ac:dyDescent="0.2">
      <c r="A13" s="20"/>
      <c r="B13" s="20"/>
      <c r="E13" s="20"/>
      <c r="F13" s="47" t="s">
        <v>195</v>
      </c>
      <c r="G13" s="47"/>
      <c r="H13" s="48">
        <v>39</v>
      </c>
      <c r="I13" s="48">
        <v>64.2</v>
      </c>
      <c r="J13" s="48">
        <v>7.9</v>
      </c>
      <c r="K13" s="20"/>
      <c r="L13" s="48">
        <v>3.8</v>
      </c>
      <c r="M13" s="30"/>
      <c r="N13" s="48">
        <v>38.299999999999997</v>
      </c>
      <c r="O13" s="48">
        <v>59.1</v>
      </c>
      <c r="P13" s="48">
        <v>12</v>
      </c>
      <c r="Q13" s="49">
        <f t="shared" si="3"/>
        <v>37.670999999999999</v>
      </c>
      <c r="R13" s="50">
        <f t="shared" si="4"/>
        <v>59.845000000000006</v>
      </c>
      <c r="S13" s="51">
        <f t="shared" si="5"/>
        <v>11.55498</v>
      </c>
      <c r="T13" s="20"/>
      <c r="U13" s="52">
        <f t="shared" si="6"/>
        <v>3.8</v>
      </c>
      <c r="V13" s="52">
        <f t="shared" si="0"/>
        <v>39</v>
      </c>
      <c r="W13" s="52">
        <f t="shared" si="1"/>
        <v>64.2</v>
      </c>
      <c r="X13" s="52">
        <f t="shared" si="2"/>
        <v>7.9</v>
      </c>
      <c r="Y13" s="20"/>
      <c r="Z13" s="20"/>
    </row>
    <row r="14" spans="1:26" x14ac:dyDescent="0.2">
      <c r="A14" s="20"/>
      <c r="B14" s="81"/>
      <c r="E14" s="20"/>
      <c r="F14" s="47" t="s">
        <v>196</v>
      </c>
      <c r="G14" s="47"/>
      <c r="H14" s="48">
        <v>35</v>
      </c>
      <c r="I14" s="48">
        <v>64.2</v>
      </c>
      <c r="J14" s="48">
        <v>7.9</v>
      </c>
      <c r="K14" s="20"/>
      <c r="L14" s="48">
        <v>3.8</v>
      </c>
      <c r="M14" s="30"/>
      <c r="N14" s="48">
        <v>41.6</v>
      </c>
      <c r="O14" s="48">
        <v>61.3</v>
      </c>
      <c r="P14" s="48">
        <v>12.7</v>
      </c>
      <c r="Q14" s="49">
        <f t="shared" si="3"/>
        <v>40.924800000000005</v>
      </c>
      <c r="R14" s="50">
        <f t="shared" si="4"/>
        <v>62.110999999999997</v>
      </c>
      <c r="S14" s="51">
        <f t="shared" si="5"/>
        <v>12.2547</v>
      </c>
      <c r="T14" s="20"/>
      <c r="U14" s="52">
        <f t="shared" si="6"/>
        <v>3.8</v>
      </c>
      <c r="V14" s="52">
        <f t="shared" si="0"/>
        <v>35</v>
      </c>
      <c r="W14" s="52">
        <f t="shared" si="1"/>
        <v>64.2</v>
      </c>
      <c r="X14" s="52">
        <f t="shared" si="2"/>
        <v>7.9</v>
      </c>
      <c r="Y14" s="20"/>
      <c r="Z14" s="20"/>
    </row>
    <row r="15" spans="1:26" x14ac:dyDescent="0.2">
      <c r="A15" s="84" t="s">
        <v>97</v>
      </c>
      <c r="B15" s="85"/>
      <c r="E15" s="20"/>
      <c r="F15" s="47" t="s">
        <v>197</v>
      </c>
      <c r="G15" s="47"/>
      <c r="H15" s="48">
        <v>33</v>
      </c>
      <c r="I15" s="48">
        <v>64.2</v>
      </c>
      <c r="J15" s="48">
        <v>7.9</v>
      </c>
      <c r="K15" s="20"/>
      <c r="L15" s="48">
        <v>3.8</v>
      </c>
      <c r="M15" s="30"/>
      <c r="N15" s="48">
        <v>36.4</v>
      </c>
      <c r="O15" s="48">
        <v>57.1</v>
      </c>
      <c r="P15" s="48">
        <v>11.3</v>
      </c>
      <c r="Q15" s="49">
        <f t="shared" si="3"/>
        <v>35.797600000000003</v>
      </c>
      <c r="R15" s="50">
        <f t="shared" si="4"/>
        <v>57.785000000000004</v>
      </c>
      <c r="S15" s="51">
        <f t="shared" si="5"/>
        <v>10.855260000000001</v>
      </c>
      <c r="T15" s="20"/>
      <c r="U15" s="52">
        <f t="shared" si="6"/>
        <v>3.8</v>
      </c>
      <c r="V15" s="52">
        <f t="shared" si="0"/>
        <v>33</v>
      </c>
      <c r="W15" s="52">
        <f t="shared" si="1"/>
        <v>64.2</v>
      </c>
      <c r="X15" s="52">
        <f t="shared" si="2"/>
        <v>7.9</v>
      </c>
      <c r="Y15" s="20"/>
      <c r="Z15" s="20"/>
    </row>
    <row r="16" spans="1:26" x14ac:dyDescent="0.2">
      <c r="A16" s="86" t="s">
        <v>101</v>
      </c>
      <c r="B16" s="87"/>
      <c r="C16" s="46" t="s">
        <v>102</v>
      </c>
      <c r="D16" s="21" t="s">
        <v>103</v>
      </c>
      <c r="E16" s="20"/>
      <c r="F16" s="47" t="s">
        <v>198</v>
      </c>
      <c r="G16" s="47"/>
      <c r="H16" s="48">
        <v>35.6</v>
      </c>
      <c r="I16" s="48">
        <v>70</v>
      </c>
      <c r="J16" s="48">
        <v>7.9</v>
      </c>
      <c r="K16" s="20"/>
      <c r="L16" s="48">
        <v>3.8</v>
      </c>
      <c r="M16" s="30"/>
      <c r="N16" s="48">
        <v>41</v>
      </c>
      <c r="O16" s="48">
        <v>63.6</v>
      </c>
      <c r="P16" s="48">
        <v>11.2</v>
      </c>
      <c r="Q16" s="49">
        <f t="shared" si="3"/>
        <v>40.333200000000005</v>
      </c>
      <c r="R16" s="50">
        <f t="shared" si="4"/>
        <v>64.48</v>
      </c>
      <c r="S16" s="51">
        <f t="shared" si="5"/>
        <v>10.7553</v>
      </c>
      <c r="T16" s="20"/>
      <c r="U16" s="52">
        <f t="shared" si="6"/>
        <v>3.8</v>
      </c>
      <c r="V16" s="52">
        <f t="shared" si="0"/>
        <v>35.6</v>
      </c>
      <c r="W16" s="52">
        <f t="shared" si="1"/>
        <v>70</v>
      </c>
      <c r="X16" s="52">
        <f t="shared" si="2"/>
        <v>7.9</v>
      </c>
      <c r="Y16" s="20"/>
      <c r="Z16" s="20"/>
    </row>
    <row r="17" spans="1:26" x14ac:dyDescent="0.2">
      <c r="A17" s="53" t="s">
        <v>183</v>
      </c>
      <c r="B17" s="45" t="s">
        <v>282</v>
      </c>
      <c r="C17" s="46">
        <f>IF($B$11=30,C18,IF($B$11=48,C19))</f>
        <v>1</v>
      </c>
      <c r="D17" s="46">
        <f>B11-3</f>
        <v>27</v>
      </c>
      <c r="E17" s="20"/>
      <c r="F17" s="47" t="s">
        <v>199</v>
      </c>
      <c r="G17" s="47"/>
      <c r="H17" s="48">
        <v>35.6</v>
      </c>
      <c r="I17" s="48">
        <v>75</v>
      </c>
      <c r="J17" s="48">
        <v>7.9</v>
      </c>
      <c r="K17" s="20"/>
      <c r="L17" s="48">
        <v>3.8</v>
      </c>
      <c r="M17" s="30"/>
      <c r="N17" s="48">
        <v>40.299999999999997</v>
      </c>
      <c r="O17" s="48">
        <v>58.2</v>
      </c>
      <c r="P17" s="48">
        <v>12.6</v>
      </c>
      <c r="Q17" s="49">
        <f t="shared" si="3"/>
        <v>39.643000000000001</v>
      </c>
      <c r="R17" s="50">
        <f t="shared" si="4"/>
        <v>58.918000000000006</v>
      </c>
      <c r="S17" s="51">
        <f t="shared" si="5"/>
        <v>12.15474</v>
      </c>
      <c r="T17" s="20"/>
      <c r="U17" s="52">
        <f t="shared" si="6"/>
        <v>3.8</v>
      </c>
      <c r="V17" s="52">
        <f t="shared" si="0"/>
        <v>35.6</v>
      </c>
      <c r="W17" s="52">
        <f t="shared" si="1"/>
        <v>75</v>
      </c>
      <c r="X17" s="52">
        <f t="shared" si="2"/>
        <v>7.9</v>
      </c>
      <c r="Y17" s="20"/>
      <c r="Z17" s="20"/>
    </row>
    <row r="18" spans="1:26" x14ac:dyDescent="0.2">
      <c r="A18" s="44" t="s">
        <v>184</v>
      </c>
      <c r="B18" s="45" t="s">
        <v>282</v>
      </c>
      <c r="C18" s="46">
        <v>1</v>
      </c>
      <c r="E18" s="20"/>
      <c r="F18" s="47" t="s">
        <v>200</v>
      </c>
      <c r="G18" s="47"/>
      <c r="H18" s="48">
        <v>35.6</v>
      </c>
      <c r="I18" s="48">
        <v>60</v>
      </c>
      <c r="J18" s="48">
        <v>7.9</v>
      </c>
      <c r="K18" s="20"/>
      <c r="L18" s="48">
        <v>3.8</v>
      </c>
      <c r="M18" s="30"/>
      <c r="N18" s="48">
        <v>39.6</v>
      </c>
      <c r="O18" s="48">
        <v>59.4</v>
      </c>
      <c r="P18" s="48">
        <v>11.2</v>
      </c>
      <c r="Q18" s="49">
        <f t="shared" si="3"/>
        <v>38.952800000000003</v>
      </c>
      <c r="R18" s="50">
        <f t="shared" si="4"/>
        <v>60.154000000000003</v>
      </c>
      <c r="S18" s="51">
        <f t="shared" si="5"/>
        <v>10.7553</v>
      </c>
      <c r="T18" s="20"/>
      <c r="U18" s="52">
        <f t="shared" si="6"/>
        <v>3.8</v>
      </c>
      <c r="V18" s="52">
        <f t="shared" si="0"/>
        <v>35.6</v>
      </c>
      <c r="W18" s="52">
        <f t="shared" si="1"/>
        <v>60</v>
      </c>
      <c r="X18" s="52">
        <f t="shared" si="2"/>
        <v>7.9</v>
      </c>
      <c r="Y18" s="20"/>
      <c r="Z18" s="20"/>
    </row>
    <row r="19" spans="1:26" x14ac:dyDescent="0.2">
      <c r="A19" s="53" t="s">
        <v>285</v>
      </c>
      <c r="B19" s="45" t="s">
        <v>282</v>
      </c>
      <c r="C19" s="46">
        <v>1.42</v>
      </c>
      <c r="D19" s="46"/>
      <c r="E19" s="20"/>
      <c r="F19" s="47" t="s">
        <v>201</v>
      </c>
      <c r="G19" s="47"/>
      <c r="H19" s="48">
        <v>35.6</v>
      </c>
      <c r="I19" s="48">
        <v>55</v>
      </c>
      <c r="J19" s="48">
        <v>7.9</v>
      </c>
      <c r="K19" s="20"/>
      <c r="L19" s="48">
        <v>3.8</v>
      </c>
      <c r="M19" s="30"/>
      <c r="N19" s="48">
        <v>40.4</v>
      </c>
      <c r="O19" s="48">
        <v>58.4</v>
      </c>
      <c r="P19" s="48">
        <v>12.5</v>
      </c>
      <c r="Q19" s="49">
        <f t="shared" si="3"/>
        <v>39.741599999999998</v>
      </c>
      <c r="R19" s="50">
        <f t="shared" si="4"/>
        <v>59.124000000000002</v>
      </c>
      <c r="S19" s="51">
        <f t="shared" si="5"/>
        <v>12.054780000000001</v>
      </c>
      <c r="T19" s="20"/>
      <c r="U19" s="52">
        <f t="shared" si="6"/>
        <v>3.8</v>
      </c>
      <c r="V19" s="52">
        <f t="shared" si="0"/>
        <v>35.6</v>
      </c>
      <c r="W19" s="52">
        <f t="shared" si="1"/>
        <v>55</v>
      </c>
      <c r="X19" s="52">
        <f t="shared" si="2"/>
        <v>7.9</v>
      </c>
      <c r="Y19" s="20"/>
      <c r="Z19" s="20"/>
    </row>
    <row r="20" spans="1:26" x14ac:dyDescent="0.2">
      <c r="A20" s="20"/>
      <c r="B20" s="20"/>
      <c r="E20" s="20"/>
      <c r="F20" s="47" t="s">
        <v>202</v>
      </c>
      <c r="G20" s="47"/>
      <c r="H20" s="48">
        <v>35.6</v>
      </c>
      <c r="I20" s="48">
        <v>64.2</v>
      </c>
      <c r="J20" s="48">
        <v>7.9</v>
      </c>
      <c r="K20" s="20"/>
      <c r="L20" s="48">
        <v>3.8</v>
      </c>
      <c r="M20" s="30"/>
      <c r="N20" s="48">
        <v>38.6</v>
      </c>
      <c r="O20" s="48">
        <v>60.2</v>
      </c>
      <c r="P20" s="48">
        <v>12.3</v>
      </c>
      <c r="Q20" s="49">
        <f t="shared" si="3"/>
        <v>37.966800000000006</v>
      </c>
      <c r="R20" s="50">
        <f t="shared" si="4"/>
        <v>60.978000000000009</v>
      </c>
      <c r="S20" s="51">
        <f t="shared" si="5"/>
        <v>11.85486</v>
      </c>
      <c r="T20" s="20"/>
      <c r="U20" s="52">
        <f t="shared" si="6"/>
        <v>3.8</v>
      </c>
      <c r="V20" s="52">
        <f t="shared" si="0"/>
        <v>35.6</v>
      </c>
      <c r="W20" s="52">
        <f t="shared" si="1"/>
        <v>64.2</v>
      </c>
      <c r="X20" s="52">
        <f t="shared" si="2"/>
        <v>7.9</v>
      </c>
      <c r="Y20" s="20"/>
      <c r="Z20" s="20"/>
    </row>
    <row r="21" spans="1:26" x14ac:dyDescent="0.2">
      <c r="A21" s="20"/>
      <c r="B21" s="20"/>
      <c r="E21" s="20"/>
      <c r="F21" s="47" t="s">
        <v>203</v>
      </c>
      <c r="G21" s="47"/>
      <c r="H21" s="48">
        <v>35.6</v>
      </c>
      <c r="I21" s="48">
        <v>64.2</v>
      </c>
      <c r="J21" s="48">
        <v>7.9</v>
      </c>
      <c r="K21" s="20"/>
      <c r="L21" s="48">
        <v>3.8</v>
      </c>
      <c r="M21" s="30"/>
      <c r="N21" s="48">
        <v>39.9</v>
      </c>
      <c r="O21" s="48">
        <v>62.9</v>
      </c>
      <c r="P21" s="48">
        <v>11.6</v>
      </c>
      <c r="Q21" s="49">
        <f t="shared" si="3"/>
        <v>39.248600000000003</v>
      </c>
      <c r="R21" s="50">
        <f t="shared" si="4"/>
        <v>63.759000000000007</v>
      </c>
      <c r="S21" s="51">
        <f t="shared" si="5"/>
        <v>11.155139999999999</v>
      </c>
      <c r="T21" s="20"/>
      <c r="U21" s="52">
        <f t="shared" si="6"/>
        <v>3.8</v>
      </c>
      <c r="V21" s="52">
        <f t="shared" si="0"/>
        <v>35.6</v>
      </c>
      <c r="W21" s="52">
        <f t="shared" si="1"/>
        <v>64.2</v>
      </c>
      <c r="X21" s="52">
        <f t="shared" si="2"/>
        <v>7.9</v>
      </c>
      <c r="Y21" s="20"/>
      <c r="Z21" s="20"/>
    </row>
    <row r="22" spans="1:26" x14ac:dyDescent="0.2">
      <c r="A22" s="20"/>
      <c r="B22" s="20"/>
      <c r="E22" s="20"/>
      <c r="F22" s="47" t="s">
        <v>204</v>
      </c>
      <c r="G22" s="47"/>
      <c r="H22" s="48">
        <v>35.6</v>
      </c>
      <c r="I22" s="48">
        <v>64.2</v>
      </c>
      <c r="J22" s="48">
        <v>7.9</v>
      </c>
      <c r="K22" s="20"/>
      <c r="L22" s="48">
        <v>3.8</v>
      </c>
      <c r="M22" s="30"/>
      <c r="N22" s="48">
        <v>37.700000000000003</v>
      </c>
      <c r="O22" s="48">
        <v>63.2</v>
      </c>
      <c r="P22" s="48">
        <v>7.9</v>
      </c>
      <c r="Q22" s="49">
        <f t="shared" si="3"/>
        <v>37.079400000000007</v>
      </c>
      <c r="R22" s="50">
        <f t="shared" si="4"/>
        <v>64.068000000000012</v>
      </c>
      <c r="S22" s="51">
        <f t="shared" si="5"/>
        <v>7.4566200000000009</v>
      </c>
      <c r="T22" s="20"/>
      <c r="U22" s="52">
        <f t="shared" si="6"/>
        <v>3.8</v>
      </c>
      <c r="V22" s="52">
        <f t="shared" si="0"/>
        <v>35.6</v>
      </c>
      <c r="W22" s="52">
        <f t="shared" si="1"/>
        <v>64.2</v>
      </c>
      <c r="X22" s="52">
        <f t="shared" si="2"/>
        <v>7.9</v>
      </c>
      <c r="Y22" s="20"/>
      <c r="Z22" s="20"/>
    </row>
    <row r="23" spans="1:26" x14ac:dyDescent="0.2">
      <c r="A23" s="20"/>
      <c r="B23" s="20"/>
      <c r="E23" s="20"/>
      <c r="F23" s="47" t="s">
        <v>205</v>
      </c>
      <c r="G23" s="47"/>
      <c r="H23" s="48">
        <v>35.6</v>
      </c>
      <c r="I23" s="48">
        <v>64.2</v>
      </c>
      <c r="J23" s="48">
        <v>7.9</v>
      </c>
      <c r="K23" s="20"/>
      <c r="L23" s="48">
        <v>3.8</v>
      </c>
      <c r="M23" s="30"/>
      <c r="N23" s="48">
        <v>40.700000000000003</v>
      </c>
      <c r="O23" s="48">
        <v>60.6</v>
      </c>
      <c r="P23" s="48">
        <v>9.9</v>
      </c>
      <c r="Q23" s="49">
        <f t="shared" si="3"/>
        <v>40.037400000000005</v>
      </c>
      <c r="R23" s="50">
        <f t="shared" si="4"/>
        <v>61.390000000000008</v>
      </c>
      <c r="S23" s="51">
        <f t="shared" si="5"/>
        <v>9.455820000000001</v>
      </c>
      <c r="T23" s="20"/>
      <c r="U23" s="52">
        <f t="shared" si="6"/>
        <v>3.8</v>
      </c>
      <c r="V23" s="52">
        <f t="shared" si="0"/>
        <v>35.6</v>
      </c>
      <c r="W23" s="52">
        <f t="shared" si="1"/>
        <v>64.2</v>
      </c>
      <c r="X23" s="52">
        <f t="shared" si="2"/>
        <v>7.9</v>
      </c>
      <c r="Y23" s="20"/>
      <c r="Z23" s="20"/>
    </row>
    <row r="24" spans="1:26" x14ac:dyDescent="0.2">
      <c r="A24" s="20"/>
      <c r="B24" s="20"/>
      <c r="E24" s="20"/>
      <c r="F24" s="47" t="s">
        <v>206</v>
      </c>
      <c r="G24" s="47"/>
      <c r="H24" s="48">
        <v>35.6</v>
      </c>
      <c r="I24" s="48">
        <v>64.2</v>
      </c>
      <c r="J24" s="48">
        <v>7.9</v>
      </c>
      <c r="K24" s="20"/>
      <c r="L24" s="48">
        <v>3.8</v>
      </c>
      <c r="M24" s="30"/>
      <c r="N24" s="48">
        <v>44.1</v>
      </c>
      <c r="O24" s="48">
        <v>56.1</v>
      </c>
      <c r="P24" s="48">
        <v>14.9</v>
      </c>
      <c r="Q24" s="49">
        <f t="shared" si="3"/>
        <v>43.389800000000001</v>
      </c>
      <c r="R24" s="50">
        <f t="shared" si="4"/>
        <v>56.755000000000003</v>
      </c>
      <c r="S24" s="51">
        <f t="shared" si="5"/>
        <v>14.45382</v>
      </c>
      <c r="T24" s="20"/>
      <c r="U24" s="52">
        <f t="shared" si="6"/>
        <v>3.8</v>
      </c>
      <c r="V24" s="52">
        <f t="shared" si="0"/>
        <v>35.6</v>
      </c>
      <c r="W24" s="52">
        <f t="shared" si="1"/>
        <v>64.2</v>
      </c>
      <c r="X24" s="52">
        <f t="shared" si="2"/>
        <v>7.9</v>
      </c>
      <c r="Y24" s="20"/>
      <c r="Z24" s="20"/>
    </row>
    <row r="25" spans="1:26" x14ac:dyDescent="0.2">
      <c r="A25" s="20"/>
      <c r="B25" s="20"/>
      <c r="E25" s="20"/>
      <c r="F25" s="47" t="s">
        <v>207</v>
      </c>
      <c r="G25" s="47"/>
      <c r="H25" s="48">
        <v>35.6</v>
      </c>
      <c r="I25" s="48">
        <v>64.2</v>
      </c>
      <c r="J25" s="48">
        <v>7.9</v>
      </c>
      <c r="K25" s="20"/>
      <c r="L25" s="48">
        <v>3.8</v>
      </c>
      <c r="M25" s="30"/>
      <c r="N25" s="48">
        <v>40.799999999999997</v>
      </c>
      <c r="O25" s="48">
        <v>59.1</v>
      </c>
      <c r="P25" s="48">
        <v>12.9</v>
      </c>
      <c r="Q25" s="49">
        <f t="shared" si="3"/>
        <v>40.136000000000003</v>
      </c>
      <c r="R25" s="50">
        <f t="shared" si="4"/>
        <v>59.845000000000006</v>
      </c>
      <c r="S25" s="51">
        <f t="shared" si="5"/>
        <v>12.45462</v>
      </c>
      <c r="T25" s="20"/>
      <c r="U25" s="52">
        <f t="shared" si="6"/>
        <v>3.8</v>
      </c>
      <c r="V25" s="52">
        <f t="shared" si="0"/>
        <v>35.6</v>
      </c>
      <c r="W25" s="52">
        <f t="shared" si="1"/>
        <v>64.2</v>
      </c>
      <c r="X25" s="52">
        <f t="shared" si="2"/>
        <v>7.9</v>
      </c>
      <c r="Y25" s="20"/>
      <c r="Z25" s="20"/>
    </row>
    <row r="26" spans="1:26" x14ac:dyDescent="0.2">
      <c r="A26" s="20"/>
      <c r="B26" s="20"/>
      <c r="E26" s="20"/>
      <c r="F26" s="47" t="s">
        <v>208</v>
      </c>
      <c r="G26" s="47"/>
      <c r="H26" s="48">
        <v>35.6</v>
      </c>
      <c r="I26" s="48">
        <v>64.2</v>
      </c>
      <c r="J26" s="48">
        <v>7.9</v>
      </c>
      <c r="K26" s="20"/>
      <c r="L26" s="48">
        <v>3.8</v>
      </c>
      <c r="M26" s="30"/>
      <c r="N26" s="48">
        <v>38.4</v>
      </c>
      <c r="O26" s="48">
        <v>59.1</v>
      </c>
      <c r="P26" s="48">
        <v>12.9</v>
      </c>
      <c r="Q26" s="49">
        <f t="shared" si="3"/>
        <v>37.769600000000004</v>
      </c>
      <c r="R26" s="50">
        <f t="shared" si="4"/>
        <v>59.845000000000006</v>
      </c>
      <c r="S26" s="51">
        <f t="shared" si="5"/>
        <v>12.45462</v>
      </c>
      <c r="T26" s="20"/>
      <c r="U26" s="52">
        <f t="shared" si="6"/>
        <v>3.8</v>
      </c>
      <c r="V26" s="52">
        <f t="shared" si="0"/>
        <v>35.6</v>
      </c>
      <c r="W26" s="52">
        <f t="shared" si="1"/>
        <v>64.2</v>
      </c>
      <c r="X26" s="52">
        <f t="shared" si="2"/>
        <v>7.9</v>
      </c>
      <c r="Y26" s="20"/>
      <c r="Z26" s="20"/>
    </row>
    <row r="27" spans="1:26" x14ac:dyDescent="0.2">
      <c r="A27" s="20"/>
      <c r="B27" s="20"/>
      <c r="E27" s="20"/>
      <c r="F27" s="47" t="s">
        <v>209</v>
      </c>
      <c r="G27" s="47"/>
      <c r="H27" s="48">
        <v>35.6</v>
      </c>
      <c r="I27" s="48">
        <v>64.2</v>
      </c>
      <c r="J27" s="48">
        <v>7.9</v>
      </c>
      <c r="K27" s="20"/>
      <c r="L27" s="48">
        <v>3.8</v>
      </c>
      <c r="M27" s="30"/>
      <c r="N27" s="48">
        <v>40.1</v>
      </c>
      <c r="O27" s="48">
        <v>63</v>
      </c>
      <c r="P27" s="48">
        <v>8.6</v>
      </c>
      <c r="Q27" s="49">
        <f t="shared" si="3"/>
        <v>39.445800000000006</v>
      </c>
      <c r="R27" s="50">
        <f t="shared" si="4"/>
        <v>63.862000000000002</v>
      </c>
      <c r="S27" s="51">
        <f t="shared" si="5"/>
        <v>8.1563400000000001</v>
      </c>
      <c r="T27" s="20"/>
      <c r="U27" s="52">
        <f t="shared" si="6"/>
        <v>3.8</v>
      </c>
      <c r="V27" s="52">
        <f t="shared" si="0"/>
        <v>35.6</v>
      </c>
      <c r="W27" s="52">
        <f t="shared" si="1"/>
        <v>64.2</v>
      </c>
      <c r="X27" s="52">
        <f t="shared" si="2"/>
        <v>7.9</v>
      </c>
      <c r="Y27" s="20"/>
      <c r="Z27" s="20"/>
    </row>
    <row r="28" spans="1:26" x14ac:dyDescent="0.2">
      <c r="A28" s="20"/>
      <c r="B28" s="20"/>
      <c r="E28" s="20"/>
      <c r="F28" s="47" t="s">
        <v>210</v>
      </c>
      <c r="G28" s="47"/>
      <c r="H28" s="48">
        <v>35.6</v>
      </c>
      <c r="I28" s="48">
        <v>64.2</v>
      </c>
      <c r="J28" s="48">
        <v>7.9</v>
      </c>
      <c r="K28" s="20"/>
      <c r="L28" s="48">
        <v>3.8</v>
      </c>
      <c r="M28" s="30"/>
      <c r="N28" s="48">
        <v>40.1</v>
      </c>
      <c r="O28" s="48">
        <v>63</v>
      </c>
      <c r="P28" s="48">
        <v>8.6</v>
      </c>
      <c r="Q28" s="49">
        <f t="shared" ref="Q28:Q40" si="7">-0.013+(N28*0.986)+(L28*-0.021)</f>
        <v>39.445800000000006</v>
      </c>
      <c r="R28" s="50">
        <f t="shared" ref="R28:R40" si="8">-1.37+(O28*1.03)+(L28*0.09)</f>
        <v>63.862000000000002</v>
      </c>
      <c r="S28" s="51">
        <f t="shared" ref="S28:S40" si="9">-0.3+(P28*0.9996)+(L28*-0.0369)</f>
        <v>8.1563400000000001</v>
      </c>
      <c r="T28" s="20"/>
      <c r="U28" s="52">
        <f t="shared" ref="U28:U40" si="10">L28</f>
        <v>3.8</v>
      </c>
      <c r="V28" s="52">
        <f t="shared" si="0"/>
        <v>35.6</v>
      </c>
      <c r="W28" s="52">
        <f t="shared" si="1"/>
        <v>64.2</v>
      </c>
      <c r="X28" s="52">
        <f t="shared" si="2"/>
        <v>7.9</v>
      </c>
      <c r="Y28" s="20"/>
      <c r="Z28" s="20"/>
    </row>
    <row r="29" spans="1:26" x14ac:dyDescent="0.2">
      <c r="A29" s="20"/>
      <c r="B29" s="20"/>
      <c r="E29" s="20"/>
      <c r="F29" s="47" t="s">
        <v>211</v>
      </c>
      <c r="G29" s="47"/>
      <c r="H29" s="48">
        <v>35.6</v>
      </c>
      <c r="I29" s="48">
        <v>64.2</v>
      </c>
      <c r="J29" s="48">
        <v>7.9</v>
      </c>
      <c r="K29" s="20"/>
      <c r="L29" s="48">
        <v>3.8</v>
      </c>
      <c r="M29" s="30"/>
      <c r="N29" s="48">
        <v>40.1</v>
      </c>
      <c r="O29" s="48">
        <v>63</v>
      </c>
      <c r="P29" s="48">
        <v>8.6</v>
      </c>
      <c r="Q29" s="49">
        <f t="shared" si="7"/>
        <v>39.445800000000006</v>
      </c>
      <c r="R29" s="50">
        <f t="shared" si="8"/>
        <v>63.862000000000002</v>
      </c>
      <c r="S29" s="51">
        <f t="shared" si="9"/>
        <v>8.1563400000000001</v>
      </c>
      <c r="T29" s="20"/>
      <c r="U29" s="52">
        <f t="shared" si="10"/>
        <v>3.8</v>
      </c>
      <c r="V29" s="52">
        <f t="shared" si="0"/>
        <v>35.6</v>
      </c>
      <c r="W29" s="52">
        <f t="shared" si="1"/>
        <v>64.2</v>
      </c>
      <c r="X29" s="52">
        <f t="shared" si="2"/>
        <v>7.9</v>
      </c>
      <c r="Y29" s="20"/>
      <c r="Z29" s="20"/>
    </row>
    <row r="30" spans="1:26" x14ac:dyDescent="0.2">
      <c r="A30" s="20"/>
      <c r="B30" s="20"/>
      <c r="E30" s="20"/>
      <c r="F30" s="47" t="s">
        <v>212</v>
      </c>
      <c r="G30" s="47"/>
      <c r="H30" s="48">
        <v>35.6</v>
      </c>
      <c r="I30" s="48">
        <v>64.2</v>
      </c>
      <c r="J30" s="48">
        <v>7.9</v>
      </c>
      <c r="K30" s="20"/>
      <c r="L30" s="48">
        <v>3.8</v>
      </c>
      <c r="M30" s="30"/>
      <c r="N30" s="48">
        <v>40.1</v>
      </c>
      <c r="O30" s="48">
        <v>63</v>
      </c>
      <c r="P30" s="48">
        <v>8.6</v>
      </c>
      <c r="Q30" s="49">
        <f t="shared" si="7"/>
        <v>39.445800000000006</v>
      </c>
      <c r="R30" s="50">
        <f t="shared" si="8"/>
        <v>63.862000000000002</v>
      </c>
      <c r="S30" s="51">
        <f t="shared" si="9"/>
        <v>8.1563400000000001</v>
      </c>
      <c r="T30" s="20"/>
      <c r="U30" s="52">
        <f t="shared" si="10"/>
        <v>3.8</v>
      </c>
      <c r="V30" s="52">
        <f t="shared" si="0"/>
        <v>35.6</v>
      </c>
      <c r="W30" s="52">
        <f t="shared" si="1"/>
        <v>64.2</v>
      </c>
      <c r="X30" s="52">
        <f t="shared" si="2"/>
        <v>7.9</v>
      </c>
      <c r="Y30" s="20"/>
      <c r="Z30" s="20"/>
    </row>
    <row r="31" spans="1:26" x14ac:dyDescent="0.2">
      <c r="A31" s="20"/>
      <c r="B31" s="20"/>
      <c r="E31" s="20"/>
      <c r="F31" s="47" t="s">
        <v>213</v>
      </c>
      <c r="G31" s="47"/>
      <c r="H31" s="48">
        <v>35.6</v>
      </c>
      <c r="I31" s="48">
        <v>64.2</v>
      </c>
      <c r="J31" s="48">
        <v>7.9</v>
      </c>
      <c r="K31" s="20"/>
      <c r="L31" s="48">
        <v>3.8</v>
      </c>
      <c r="M31" s="30"/>
      <c r="N31" s="48">
        <v>40.1</v>
      </c>
      <c r="O31" s="48">
        <v>63</v>
      </c>
      <c r="P31" s="48">
        <v>8.6</v>
      </c>
      <c r="Q31" s="49">
        <f t="shared" si="7"/>
        <v>39.445800000000006</v>
      </c>
      <c r="R31" s="50">
        <f t="shared" si="8"/>
        <v>63.862000000000002</v>
      </c>
      <c r="S31" s="51">
        <f t="shared" si="9"/>
        <v>8.1563400000000001</v>
      </c>
      <c r="T31" s="20"/>
      <c r="U31" s="52">
        <f t="shared" si="10"/>
        <v>3.8</v>
      </c>
      <c r="V31" s="52">
        <f t="shared" si="0"/>
        <v>35.6</v>
      </c>
      <c r="W31" s="52">
        <f t="shared" si="1"/>
        <v>64.2</v>
      </c>
      <c r="X31" s="52">
        <f t="shared" si="2"/>
        <v>7.9</v>
      </c>
      <c r="Y31" s="20"/>
      <c r="Z31" s="20"/>
    </row>
    <row r="32" spans="1:26" x14ac:dyDescent="0.2">
      <c r="A32" s="20"/>
      <c r="B32" s="20"/>
      <c r="E32" s="20"/>
      <c r="F32" s="47" t="s">
        <v>214</v>
      </c>
      <c r="G32" s="47"/>
      <c r="H32" s="48">
        <v>35.6</v>
      </c>
      <c r="I32" s="48">
        <v>64.2</v>
      </c>
      <c r="J32" s="48">
        <v>7.9</v>
      </c>
      <c r="K32" s="20"/>
      <c r="L32" s="48">
        <v>3.8</v>
      </c>
      <c r="M32" s="30"/>
      <c r="N32" s="48">
        <v>40.1</v>
      </c>
      <c r="O32" s="48">
        <v>63</v>
      </c>
      <c r="P32" s="48">
        <v>8.6</v>
      </c>
      <c r="Q32" s="49">
        <f t="shared" si="7"/>
        <v>39.445800000000006</v>
      </c>
      <c r="R32" s="50">
        <f t="shared" si="8"/>
        <v>63.862000000000002</v>
      </c>
      <c r="S32" s="51">
        <f t="shared" si="9"/>
        <v>8.1563400000000001</v>
      </c>
      <c r="T32" s="20"/>
      <c r="U32" s="52">
        <f t="shared" si="10"/>
        <v>3.8</v>
      </c>
      <c r="V32" s="52">
        <f t="shared" si="0"/>
        <v>35.6</v>
      </c>
      <c r="W32" s="52">
        <f t="shared" si="1"/>
        <v>64.2</v>
      </c>
      <c r="X32" s="52">
        <f t="shared" si="2"/>
        <v>7.9</v>
      </c>
      <c r="Y32" s="20"/>
      <c r="Z32" s="20"/>
    </row>
    <row r="33" spans="1:26" x14ac:dyDescent="0.2">
      <c r="A33" s="20"/>
      <c r="B33" s="20"/>
      <c r="E33" s="20"/>
      <c r="F33" s="47" t="s">
        <v>215</v>
      </c>
      <c r="G33" s="47"/>
      <c r="H33" s="48">
        <v>35.6</v>
      </c>
      <c r="I33" s="48">
        <v>64.2</v>
      </c>
      <c r="J33" s="48">
        <v>7.9</v>
      </c>
      <c r="K33" s="20"/>
      <c r="L33" s="48">
        <v>3.8</v>
      </c>
      <c r="M33" s="30"/>
      <c r="N33" s="48">
        <v>40.1</v>
      </c>
      <c r="O33" s="48">
        <v>63</v>
      </c>
      <c r="P33" s="48">
        <v>8.6</v>
      </c>
      <c r="Q33" s="49">
        <f t="shared" si="7"/>
        <v>39.445800000000006</v>
      </c>
      <c r="R33" s="50">
        <f t="shared" si="8"/>
        <v>63.862000000000002</v>
      </c>
      <c r="S33" s="51">
        <f t="shared" si="9"/>
        <v>8.1563400000000001</v>
      </c>
      <c r="T33" s="20"/>
      <c r="U33" s="52">
        <f t="shared" si="10"/>
        <v>3.8</v>
      </c>
      <c r="V33" s="52">
        <f t="shared" si="0"/>
        <v>35.6</v>
      </c>
      <c r="W33" s="52">
        <f t="shared" si="1"/>
        <v>64.2</v>
      </c>
      <c r="X33" s="52">
        <f t="shared" si="2"/>
        <v>7.9</v>
      </c>
      <c r="Y33" s="20"/>
      <c r="Z33" s="20"/>
    </row>
    <row r="34" spans="1:26" x14ac:dyDescent="0.2">
      <c r="A34" s="20"/>
      <c r="B34" s="20"/>
      <c r="E34" s="20"/>
      <c r="F34" s="47" t="s">
        <v>216</v>
      </c>
      <c r="G34" s="47"/>
      <c r="H34" s="48">
        <v>35.6</v>
      </c>
      <c r="I34" s="48">
        <v>64.2</v>
      </c>
      <c r="J34" s="48">
        <v>7.9</v>
      </c>
      <c r="K34" s="20"/>
      <c r="L34" s="48">
        <v>4.5</v>
      </c>
      <c r="M34" s="30"/>
      <c r="N34" s="48">
        <v>40.1</v>
      </c>
      <c r="O34" s="48">
        <v>63</v>
      </c>
      <c r="P34" s="48">
        <v>8.6</v>
      </c>
      <c r="Q34" s="49">
        <f t="shared" si="7"/>
        <v>39.431100000000008</v>
      </c>
      <c r="R34" s="50">
        <f t="shared" si="8"/>
        <v>63.925000000000004</v>
      </c>
      <c r="S34" s="51">
        <f t="shared" si="9"/>
        <v>8.1305099999999992</v>
      </c>
      <c r="T34" s="20"/>
      <c r="U34" s="52">
        <f t="shared" si="10"/>
        <v>4.5</v>
      </c>
      <c r="V34" s="52">
        <f t="shared" si="0"/>
        <v>35.6</v>
      </c>
      <c r="W34" s="52">
        <f t="shared" si="1"/>
        <v>64.2</v>
      </c>
      <c r="X34" s="52">
        <f t="shared" si="2"/>
        <v>7.9</v>
      </c>
      <c r="Y34" s="20"/>
      <c r="Z34" s="20"/>
    </row>
    <row r="35" spans="1:26" x14ac:dyDescent="0.2">
      <c r="A35" s="20"/>
      <c r="B35" s="20"/>
      <c r="E35" s="20"/>
      <c r="F35" s="47" t="s">
        <v>217</v>
      </c>
      <c r="G35" s="47"/>
      <c r="H35" s="48">
        <v>35.6</v>
      </c>
      <c r="I35" s="48">
        <v>64.2</v>
      </c>
      <c r="J35" s="48">
        <v>7.9</v>
      </c>
      <c r="K35" s="20"/>
      <c r="L35" s="48">
        <v>5</v>
      </c>
      <c r="M35" s="30"/>
      <c r="N35" s="48">
        <v>40.1</v>
      </c>
      <c r="O35" s="48">
        <v>63</v>
      </c>
      <c r="P35" s="48">
        <v>8.6</v>
      </c>
      <c r="Q35" s="49">
        <f t="shared" si="7"/>
        <v>39.420600000000007</v>
      </c>
      <c r="R35" s="50">
        <f t="shared" si="8"/>
        <v>63.970000000000006</v>
      </c>
      <c r="S35" s="51">
        <f t="shared" si="9"/>
        <v>8.1120599999999996</v>
      </c>
      <c r="T35" s="20"/>
      <c r="U35" s="52">
        <f t="shared" si="10"/>
        <v>5</v>
      </c>
      <c r="V35" s="52">
        <f t="shared" si="0"/>
        <v>35.6</v>
      </c>
      <c r="W35" s="52">
        <f t="shared" si="1"/>
        <v>64.2</v>
      </c>
      <c r="X35" s="52">
        <f t="shared" si="2"/>
        <v>7.9</v>
      </c>
      <c r="Y35" s="20"/>
      <c r="Z35" s="20"/>
    </row>
    <row r="36" spans="1:26" x14ac:dyDescent="0.2">
      <c r="A36" s="20"/>
      <c r="B36" s="20"/>
      <c r="E36" s="20"/>
      <c r="F36" s="47" t="s">
        <v>218</v>
      </c>
      <c r="G36" s="47"/>
      <c r="H36" s="48">
        <v>35.6</v>
      </c>
      <c r="I36" s="48">
        <v>64.2</v>
      </c>
      <c r="J36" s="48">
        <v>7.9</v>
      </c>
      <c r="K36" s="20"/>
      <c r="L36" s="48">
        <v>3.5</v>
      </c>
      <c r="M36" s="30"/>
      <c r="N36" s="48">
        <v>40.1</v>
      </c>
      <c r="O36" s="48">
        <v>63</v>
      </c>
      <c r="P36" s="48">
        <v>8.6</v>
      </c>
      <c r="Q36" s="49">
        <f t="shared" si="7"/>
        <v>39.452100000000002</v>
      </c>
      <c r="R36" s="50">
        <f t="shared" si="8"/>
        <v>63.835000000000001</v>
      </c>
      <c r="S36" s="51">
        <f t="shared" si="9"/>
        <v>8.1674100000000003</v>
      </c>
      <c r="T36" s="20"/>
      <c r="U36" s="52">
        <f t="shared" si="10"/>
        <v>3.5</v>
      </c>
      <c r="V36" s="52">
        <f t="shared" si="0"/>
        <v>35.6</v>
      </c>
      <c r="W36" s="52">
        <f t="shared" si="1"/>
        <v>64.2</v>
      </c>
      <c r="X36" s="52">
        <f t="shared" si="2"/>
        <v>7.9</v>
      </c>
      <c r="Y36" s="20"/>
      <c r="Z36" s="20"/>
    </row>
    <row r="37" spans="1:26" x14ac:dyDescent="0.2">
      <c r="A37" s="20"/>
      <c r="B37" s="20"/>
      <c r="E37" s="20"/>
      <c r="F37" s="47" t="s">
        <v>219</v>
      </c>
      <c r="G37" s="47"/>
      <c r="H37" s="48">
        <v>35.6</v>
      </c>
      <c r="I37" s="48">
        <v>64.2</v>
      </c>
      <c r="J37" s="48">
        <v>7.9</v>
      </c>
      <c r="K37" s="20"/>
      <c r="L37" s="48">
        <v>3</v>
      </c>
      <c r="M37" s="30"/>
      <c r="N37" s="48">
        <v>40.1</v>
      </c>
      <c r="O37" s="48">
        <v>63</v>
      </c>
      <c r="P37" s="48">
        <v>8.6</v>
      </c>
      <c r="Q37" s="49">
        <f t="shared" si="7"/>
        <v>39.462600000000002</v>
      </c>
      <c r="R37" s="50">
        <f t="shared" si="8"/>
        <v>63.790000000000006</v>
      </c>
      <c r="S37" s="51">
        <f t="shared" si="9"/>
        <v>8.1858599999999999</v>
      </c>
      <c r="T37" s="20"/>
      <c r="U37" s="52">
        <f t="shared" si="10"/>
        <v>3</v>
      </c>
      <c r="V37" s="52">
        <f t="shared" si="0"/>
        <v>35.6</v>
      </c>
      <c r="W37" s="52">
        <f t="shared" si="1"/>
        <v>64.2</v>
      </c>
      <c r="X37" s="52">
        <f t="shared" si="2"/>
        <v>7.9</v>
      </c>
      <c r="Y37" s="20"/>
      <c r="Z37" s="20"/>
    </row>
    <row r="38" spans="1:26" x14ac:dyDescent="0.2">
      <c r="A38" s="20"/>
      <c r="B38" s="20"/>
      <c r="E38" s="20"/>
      <c r="F38" s="47" t="s">
        <v>220</v>
      </c>
      <c r="G38" s="47"/>
      <c r="H38" s="48">
        <v>35.6</v>
      </c>
      <c r="I38" s="48">
        <v>64.2</v>
      </c>
      <c r="J38" s="48">
        <v>7.9</v>
      </c>
      <c r="K38" s="20"/>
      <c r="L38" s="48">
        <v>3</v>
      </c>
      <c r="M38" s="30"/>
      <c r="N38" s="48">
        <v>40.1</v>
      </c>
      <c r="O38" s="48">
        <v>63</v>
      </c>
      <c r="P38" s="48">
        <v>8.6</v>
      </c>
      <c r="Q38" s="49">
        <f t="shared" si="7"/>
        <v>39.462600000000002</v>
      </c>
      <c r="R38" s="50">
        <f t="shared" si="8"/>
        <v>63.790000000000006</v>
      </c>
      <c r="S38" s="51">
        <f t="shared" si="9"/>
        <v>8.1858599999999999</v>
      </c>
      <c r="T38" s="20"/>
      <c r="U38" s="52">
        <f t="shared" si="10"/>
        <v>3</v>
      </c>
      <c r="V38" s="52">
        <f t="shared" si="0"/>
        <v>35.6</v>
      </c>
      <c r="W38" s="52">
        <f t="shared" si="1"/>
        <v>64.2</v>
      </c>
      <c r="X38" s="52">
        <f t="shared" si="2"/>
        <v>7.9</v>
      </c>
      <c r="Y38" s="20"/>
      <c r="Z38" s="20"/>
    </row>
    <row r="39" spans="1:26" x14ac:dyDescent="0.2">
      <c r="A39" s="20"/>
      <c r="B39" s="20"/>
      <c r="E39" s="20"/>
      <c r="F39" s="47" t="s">
        <v>221</v>
      </c>
      <c r="G39" s="47"/>
      <c r="H39" s="48">
        <v>35.6</v>
      </c>
      <c r="I39" s="48">
        <v>64.2</v>
      </c>
      <c r="J39" s="48">
        <v>7.9</v>
      </c>
      <c r="K39" s="20"/>
      <c r="L39" s="48">
        <v>3</v>
      </c>
      <c r="M39" s="30"/>
      <c r="N39" s="48">
        <v>40.1</v>
      </c>
      <c r="O39" s="48">
        <v>63</v>
      </c>
      <c r="P39" s="48">
        <v>8.6</v>
      </c>
      <c r="Q39" s="49">
        <f t="shared" si="7"/>
        <v>39.462600000000002</v>
      </c>
      <c r="R39" s="50">
        <f t="shared" si="8"/>
        <v>63.790000000000006</v>
      </c>
      <c r="S39" s="51">
        <f t="shared" si="9"/>
        <v>8.1858599999999999</v>
      </c>
      <c r="T39" s="20"/>
      <c r="U39" s="52">
        <f t="shared" si="10"/>
        <v>3</v>
      </c>
      <c r="V39" s="52">
        <f t="shared" si="0"/>
        <v>35.6</v>
      </c>
      <c r="W39" s="52">
        <f t="shared" si="1"/>
        <v>64.2</v>
      </c>
      <c r="X39" s="52">
        <f t="shared" si="2"/>
        <v>7.9</v>
      </c>
      <c r="Y39" s="20"/>
      <c r="Z39" s="20"/>
    </row>
    <row r="40" spans="1:26" x14ac:dyDescent="0.2">
      <c r="A40" s="20"/>
      <c r="B40" s="20"/>
      <c r="E40" s="20"/>
      <c r="F40" s="47" t="s">
        <v>222</v>
      </c>
      <c r="G40" s="47"/>
      <c r="H40" s="48">
        <v>35.6</v>
      </c>
      <c r="I40" s="48">
        <v>64.2</v>
      </c>
      <c r="J40" s="48">
        <v>7.9</v>
      </c>
      <c r="K40" s="20"/>
      <c r="L40" s="48">
        <v>3</v>
      </c>
      <c r="M40" s="30"/>
      <c r="N40" s="48">
        <v>40.1</v>
      </c>
      <c r="O40" s="48">
        <v>63</v>
      </c>
      <c r="P40" s="48">
        <v>8.6</v>
      </c>
      <c r="Q40" s="49">
        <f t="shared" si="7"/>
        <v>39.462600000000002</v>
      </c>
      <c r="R40" s="50">
        <f t="shared" si="8"/>
        <v>63.790000000000006</v>
      </c>
      <c r="S40" s="51">
        <f t="shared" si="9"/>
        <v>8.1858599999999999</v>
      </c>
      <c r="T40" s="20"/>
      <c r="U40" s="52">
        <f t="shared" si="10"/>
        <v>3</v>
      </c>
      <c r="V40" s="52">
        <f t="shared" si="0"/>
        <v>35.6</v>
      </c>
      <c r="W40" s="52">
        <f t="shared" si="1"/>
        <v>64.2</v>
      </c>
      <c r="X40" s="52">
        <f t="shared" si="2"/>
        <v>7.9</v>
      </c>
      <c r="Y40" s="20"/>
      <c r="Z40" s="20"/>
    </row>
    <row r="41" spans="1:26" x14ac:dyDescent="0.2">
      <c r="A41" s="20"/>
      <c r="B41" s="20"/>
      <c r="C41" s="20"/>
      <c r="D41" s="20"/>
      <c r="E41" s="20"/>
      <c r="F41" s="47" t="s">
        <v>223</v>
      </c>
      <c r="G41" s="47"/>
      <c r="H41" s="48">
        <v>35.6</v>
      </c>
      <c r="I41" s="48">
        <v>64.2</v>
      </c>
      <c r="J41" s="48">
        <v>7.9</v>
      </c>
      <c r="K41" s="20"/>
      <c r="L41" s="48">
        <v>3</v>
      </c>
      <c r="M41" s="20"/>
      <c r="N41" s="48">
        <v>40.1</v>
      </c>
      <c r="O41" s="48">
        <v>63</v>
      </c>
      <c r="P41" s="48">
        <v>8.6</v>
      </c>
      <c r="Q41" s="49">
        <f t="shared" ref="Q41:Q99" si="11">-0.013+(N41*0.986)+(L41*-0.021)</f>
        <v>39.462600000000002</v>
      </c>
      <c r="R41" s="50">
        <f t="shared" ref="R41:R99" si="12">-1.37+(O41*1.03)+(L41*0.09)</f>
        <v>63.790000000000006</v>
      </c>
      <c r="S41" s="51">
        <f t="shared" ref="S41:S99" si="13">-0.3+(P41*0.9996)+(L41*-0.0369)</f>
        <v>8.1858599999999999</v>
      </c>
      <c r="T41" s="20"/>
      <c r="U41" s="52">
        <f t="shared" ref="U41:U99" si="14">L41</f>
        <v>3</v>
      </c>
      <c r="V41" s="52">
        <f t="shared" ref="V41:V99" si="15">IF($B$17="Yes",H41,IF($B$17="No",Q41))</f>
        <v>35.6</v>
      </c>
      <c r="W41" s="52">
        <f t="shared" ref="W41:W99" si="16">IF($B$18="Yes",I41,IF($B$18="No",R41))</f>
        <v>64.2</v>
      </c>
      <c r="X41" s="52">
        <f t="shared" ref="X41:X99" si="17">IF($B$19="Yes",J41,IF($B$19="No",S41))</f>
        <v>7.9</v>
      </c>
      <c r="Y41" s="20"/>
      <c r="Z41" s="20"/>
    </row>
    <row r="42" spans="1:26" x14ac:dyDescent="0.2">
      <c r="A42" s="20"/>
      <c r="B42" s="20"/>
      <c r="C42" s="20"/>
      <c r="D42" s="20"/>
      <c r="E42" s="20"/>
      <c r="F42" s="47" t="s">
        <v>224</v>
      </c>
      <c r="G42" s="47"/>
      <c r="H42" s="48">
        <v>35.6</v>
      </c>
      <c r="I42" s="48">
        <v>64.2</v>
      </c>
      <c r="J42" s="48">
        <v>7.9</v>
      </c>
      <c r="K42" s="20"/>
      <c r="L42" s="48">
        <v>3</v>
      </c>
      <c r="M42" s="20"/>
      <c r="N42" s="48">
        <v>40.1</v>
      </c>
      <c r="O42" s="48">
        <v>63</v>
      </c>
      <c r="P42" s="48">
        <v>8.6</v>
      </c>
      <c r="Q42" s="49">
        <f t="shared" si="11"/>
        <v>39.462600000000002</v>
      </c>
      <c r="R42" s="50">
        <f t="shared" si="12"/>
        <v>63.790000000000006</v>
      </c>
      <c r="S42" s="51">
        <f t="shared" si="13"/>
        <v>8.1858599999999999</v>
      </c>
      <c r="T42" s="20"/>
      <c r="U42" s="52">
        <f t="shared" si="14"/>
        <v>3</v>
      </c>
      <c r="V42" s="52">
        <f t="shared" si="15"/>
        <v>35.6</v>
      </c>
      <c r="W42" s="52">
        <f t="shared" si="16"/>
        <v>64.2</v>
      </c>
      <c r="X42" s="52">
        <f t="shared" si="17"/>
        <v>7.9</v>
      </c>
      <c r="Y42" s="20"/>
      <c r="Z42" s="20"/>
    </row>
    <row r="43" spans="1:26" x14ac:dyDescent="0.2">
      <c r="A43" s="20"/>
      <c r="B43" s="20"/>
      <c r="C43" s="20"/>
      <c r="D43" s="20"/>
      <c r="E43" s="20"/>
      <c r="F43" s="47" t="s">
        <v>225</v>
      </c>
      <c r="G43" s="47"/>
      <c r="H43" s="48">
        <v>35.6</v>
      </c>
      <c r="I43" s="48">
        <v>64.2</v>
      </c>
      <c r="J43" s="48">
        <v>7.9</v>
      </c>
      <c r="K43" s="20"/>
      <c r="L43" s="48">
        <v>3</v>
      </c>
      <c r="M43" s="20"/>
      <c r="N43" s="48">
        <v>40.1</v>
      </c>
      <c r="O43" s="48">
        <v>63</v>
      </c>
      <c r="P43" s="48">
        <v>8.6</v>
      </c>
      <c r="Q43" s="49">
        <f t="shared" si="11"/>
        <v>39.462600000000002</v>
      </c>
      <c r="R43" s="50">
        <f t="shared" si="12"/>
        <v>63.790000000000006</v>
      </c>
      <c r="S43" s="51">
        <f t="shared" si="13"/>
        <v>8.1858599999999999</v>
      </c>
      <c r="T43" s="20"/>
      <c r="U43" s="52">
        <f t="shared" si="14"/>
        <v>3</v>
      </c>
      <c r="V43" s="52">
        <f t="shared" si="15"/>
        <v>35.6</v>
      </c>
      <c r="W43" s="52">
        <f t="shared" si="16"/>
        <v>64.2</v>
      </c>
      <c r="X43" s="52">
        <f t="shared" si="17"/>
        <v>7.9</v>
      </c>
      <c r="Y43" s="20"/>
      <c r="Z43" s="20"/>
    </row>
    <row r="44" spans="1:26" x14ac:dyDescent="0.2">
      <c r="A44" s="20"/>
      <c r="B44" s="20"/>
      <c r="C44" s="20"/>
      <c r="D44" s="20"/>
      <c r="E44" s="20"/>
      <c r="F44" s="47" t="s">
        <v>226</v>
      </c>
      <c r="G44" s="47"/>
      <c r="H44" s="48">
        <v>35.6</v>
      </c>
      <c r="I44" s="48">
        <v>64.2</v>
      </c>
      <c r="J44" s="48">
        <v>7.9</v>
      </c>
      <c r="K44" s="20"/>
      <c r="L44" s="48">
        <v>3</v>
      </c>
      <c r="M44" s="20"/>
      <c r="N44" s="48">
        <v>40.1</v>
      </c>
      <c r="O44" s="48">
        <v>63</v>
      </c>
      <c r="P44" s="48">
        <v>8.6</v>
      </c>
      <c r="Q44" s="49">
        <f t="shared" si="11"/>
        <v>39.462600000000002</v>
      </c>
      <c r="R44" s="50">
        <f t="shared" si="12"/>
        <v>63.790000000000006</v>
      </c>
      <c r="S44" s="51">
        <f t="shared" si="13"/>
        <v>8.1858599999999999</v>
      </c>
      <c r="T44" s="20"/>
      <c r="U44" s="52">
        <f t="shared" si="14"/>
        <v>3</v>
      </c>
      <c r="V44" s="52">
        <f t="shared" si="15"/>
        <v>35.6</v>
      </c>
      <c r="W44" s="52">
        <f t="shared" si="16"/>
        <v>64.2</v>
      </c>
      <c r="X44" s="52">
        <f t="shared" si="17"/>
        <v>7.9</v>
      </c>
      <c r="Y44" s="20"/>
      <c r="Z44" s="20"/>
    </row>
    <row r="45" spans="1:26" x14ac:dyDescent="0.2">
      <c r="A45" s="20"/>
      <c r="B45" s="20"/>
      <c r="C45" s="20"/>
      <c r="D45" s="20"/>
      <c r="E45" s="20"/>
      <c r="F45" s="47" t="s">
        <v>227</v>
      </c>
      <c r="G45" s="47"/>
      <c r="H45" s="48">
        <v>35.6</v>
      </c>
      <c r="I45" s="48">
        <v>64.2</v>
      </c>
      <c r="J45" s="48">
        <v>7.9</v>
      </c>
      <c r="K45" s="20"/>
      <c r="L45" s="48">
        <v>3</v>
      </c>
      <c r="M45" s="20"/>
      <c r="N45" s="48">
        <v>40.1</v>
      </c>
      <c r="O45" s="48">
        <v>63</v>
      </c>
      <c r="P45" s="48">
        <v>8.6</v>
      </c>
      <c r="Q45" s="49">
        <f t="shared" si="11"/>
        <v>39.462600000000002</v>
      </c>
      <c r="R45" s="50">
        <f t="shared" si="12"/>
        <v>63.790000000000006</v>
      </c>
      <c r="S45" s="51">
        <f t="shared" si="13"/>
        <v>8.1858599999999999</v>
      </c>
      <c r="T45" s="20"/>
      <c r="U45" s="52">
        <f t="shared" si="14"/>
        <v>3</v>
      </c>
      <c r="V45" s="52">
        <f t="shared" si="15"/>
        <v>35.6</v>
      </c>
      <c r="W45" s="52">
        <f t="shared" si="16"/>
        <v>64.2</v>
      </c>
      <c r="X45" s="52">
        <f t="shared" si="17"/>
        <v>7.9</v>
      </c>
      <c r="Y45" s="20"/>
      <c r="Z45" s="20"/>
    </row>
    <row r="46" spans="1:26" x14ac:dyDescent="0.2">
      <c r="A46" s="20"/>
      <c r="B46" s="20"/>
      <c r="C46" s="20"/>
      <c r="D46" s="20"/>
      <c r="E46" s="20"/>
      <c r="F46" s="47" t="s">
        <v>228</v>
      </c>
      <c r="G46" s="47"/>
      <c r="H46" s="48">
        <v>35.6</v>
      </c>
      <c r="I46" s="48">
        <v>64.2</v>
      </c>
      <c r="J46" s="48">
        <v>7.9</v>
      </c>
      <c r="K46" s="20"/>
      <c r="L46" s="48">
        <v>3</v>
      </c>
      <c r="M46" s="20"/>
      <c r="N46" s="48">
        <v>40.1</v>
      </c>
      <c r="O46" s="48">
        <v>63</v>
      </c>
      <c r="P46" s="48">
        <v>8.6</v>
      </c>
      <c r="Q46" s="49">
        <f t="shared" si="11"/>
        <v>39.462600000000002</v>
      </c>
      <c r="R46" s="50">
        <f t="shared" si="12"/>
        <v>63.790000000000006</v>
      </c>
      <c r="S46" s="51">
        <f t="shared" si="13"/>
        <v>8.1858599999999999</v>
      </c>
      <c r="T46" s="20"/>
      <c r="U46" s="52">
        <f t="shared" si="14"/>
        <v>3</v>
      </c>
      <c r="V46" s="52">
        <f t="shared" si="15"/>
        <v>35.6</v>
      </c>
      <c r="W46" s="52">
        <f t="shared" si="16"/>
        <v>64.2</v>
      </c>
      <c r="X46" s="52">
        <f t="shared" si="17"/>
        <v>7.9</v>
      </c>
      <c r="Y46" s="20"/>
      <c r="Z46" s="20"/>
    </row>
    <row r="47" spans="1:26" x14ac:dyDescent="0.2">
      <c r="A47" s="20"/>
      <c r="B47" s="20"/>
      <c r="C47" s="20"/>
      <c r="D47" s="20"/>
      <c r="E47" s="20"/>
      <c r="F47" s="47" t="s">
        <v>229</v>
      </c>
      <c r="G47" s="47"/>
      <c r="H47" s="48">
        <v>35.6</v>
      </c>
      <c r="I47" s="48">
        <v>64.2</v>
      </c>
      <c r="J47" s="48">
        <v>7.9</v>
      </c>
      <c r="K47" s="20"/>
      <c r="L47" s="48">
        <v>3</v>
      </c>
      <c r="M47" s="20"/>
      <c r="N47" s="48">
        <v>40.1</v>
      </c>
      <c r="O47" s="48">
        <v>63</v>
      </c>
      <c r="P47" s="48">
        <v>8.6</v>
      </c>
      <c r="Q47" s="49">
        <f t="shared" si="11"/>
        <v>39.462600000000002</v>
      </c>
      <c r="R47" s="50">
        <f t="shared" si="12"/>
        <v>63.790000000000006</v>
      </c>
      <c r="S47" s="51">
        <f t="shared" si="13"/>
        <v>8.1858599999999999</v>
      </c>
      <c r="T47" s="20"/>
      <c r="U47" s="52">
        <f t="shared" si="14"/>
        <v>3</v>
      </c>
      <c r="V47" s="52">
        <f t="shared" si="15"/>
        <v>35.6</v>
      </c>
      <c r="W47" s="52">
        <f t="shared" si="16"/>
        <v>64.2</v>
      </c>
      <c r="X47" s="52">
        <f t="shared" si="17"/>
        <v>7.9</v>
      </c>
      <c r="Y47" s="20"/>
      <c r="Z47" s="20"/>
    </row>
    <row r="48" spans="1:26" x14ac:dyDescent="0.2">
      <c r="A48" s="20"/>
      <c r="B48" s="20"/>
      <c r="C48" s="20"/>
      <c r="D48" s="20"/>
      <c r="E48" s="20"/>
      <c r="F48" s="47" t="s">
        <v>230</v>
      </c>
      <c r="G48" s="47"/>
      <c r="H48" s="48">
        <v>35.6</v>
      </c>
      <c r="I48" s="48">
        <v>64.2</v>
      </c>
      <c r="J48" s="48">
        <v>7.9</v>
      </c>
      <c r="K48" s="20"/>
      <c r="L48" s="48">
        <v>3</v>
      </c>
      <c r="M48" s="20"/>
      <c r="N48" s="48">
        <v>40.1</v>
      </c>
      <c r="O48" s="48">
        <v>63</v>
      </c>
      <c r="P48" s="48">
        <v>8.6</v>
      </c>
      <c r="Q48" s="49">
        <f t="shared" si="11"/>
        <v>39.462600000000002</v>
      </c>
      <c r="R48" s="50">
        <f t="shared" si="12"/>
        <v>63.790000000000006</v>
      </c>
      <c r="S48" s="51">
        <f t="shared" si="13"/>
        <v>8.1858599999999999</v>
      </c>
      <c r="T48" s="20"/>
      <c r="U48" s="52">
        <f t="shared" si="14"/>
        <v>3</v>
      </c>
      <c r="V48" s="52">
        <f t="shared" si="15"/>
        <v>35.6</v>
      </c>
      <c r="W48" s="52">
        <f t="shared" si="16"/>
        <v>64.2</v>
      </c>
      <c r="X48" s="52">
        <f t="shared" si="17"/>
        <v>7.9</v>
      </c>
      <c r="Y48" s="20"/>
      <c r="Z48" s="20"/>
    </row>
    <row r="49" spans="1:26" x14ac:dyDescent="0.2">
      <c r="A49" s="20"/>
      <c r="B49" s="20"/>
      <c r="C49" s="20"/>
      <c r="D49" s="20"/>
      <c r="E49" s="20"/>
      <c r="F49" s="47" t="s">
        <v>231</v>
      </c>
      <c r="G49" s="47"/>
      <c r="H49" s="48">
        <v>35.6</v>
      </c>
      <c r="I49" s="48">
        <v>64.2</v>
      </c>
      <c r="J49" s="48">
        <v>7.9</v>
      </c>
      <c r="K49" s="20"/>
      <c r="L49" s="48">
        <v>3</v>
      </c>
      <c r="M49" s="20"/>
      <c r="N49" s="48">
        <v>40.1</v>
      </c>
      <c r="O49" s="48">
        <v>63</v>
      </c>
      <c r="P49" s="48">
        <v>8.6</v>
      </c>
      <c r="Q49" s="49">
        <f t="shared" si="11"/>
        <v>39.462600000000002</v>
      </c>
      <c r="R49" s="50">
        <f t="shared" si="12"/>
        <v>63.790000000000006</v>
      </c>
      <c r="S49" s="51">
        <f t="shared" si="13"/>
        <v>8.1858599999999999</v>
      </c>
      <c r="T49" s="20"/>
      <c r="U49" s="52">
        <f t="shared" si="14"/>
        <v>3</v>
      </c>
      <c r="V49" s="52">
        <f t="shared" si="15"/>
        <v>35.6</v>
      </c>
      <c r="W49" s="52">
        <f t="shared" si="16"/>
        <v>64.2</v>
      </c>
      <c r="X49" s="52">
        <f t="shared" si="17"/>
        <v>7.9</v>
      </c>
      <c r="Y49" s="20"/>
      <c r="Z49" s="20"/>
    </row>
    <row r="50" spans="1:26" x14ac:dyDescent="0.2">
      <c r="A50" s="20"/>
      <c r="B50" s="20"/>
      <c r="C50" s="20"/>
      <c r="D50" s="20"/>
      <c r="E50" s="20"/>
      <c r="F50" s="47" t="s">
        <v>232</v>
      </c>
      <c r="G50" s="47"/>
      <c r="H50" s="48">
        <v>35.6</v>
      </c>
      <c r="I50" s="48">
        <v>64.2</v>
      </c>
      <c r="J50" s="48">
        <v>7.9</v>
      </c>
      <c r="K50" s="20"/>
      <c r="L50" s="48">
        <v>3</v>
      </c>
      <c r="M50" s="20"/>
      <c r="N50" s="48">
        <v>40.1</v>
      </c>
      <c r="O50" s="48">
        <v>63</v>
      </c>
      <c r="P50" s="48">
        <v>8.6</v>
      </c>
      <c r="Q50" s="49">
        <f t="shared" si="11"/>
        <v>39.462600000000002</v>
      </c>
      <c r="R50" s="50">
        <f t="shared" si="12"/>
        <v>63.790000000000006</v>
      </c>
      <c r="S50" s="51">
        <f t="shared" si="13"/>
        <v>8.1858599999999999</v>
      </c>
      <c r="T50" s="20"/>
      <c r="U50" s="52">
        <f t="shared" si="14"/>
        <v>3</v>
      </c>
      <c r="V50" s="52">
        <f t="shared" si="15"/>
        <v>35.6</v>
      </c>
      <c r="W50" s="52">
        <f t="shared" si="16"/>
        <v>64.2</v>
      </c>
      <c r="X50" s="52">
        <f t="shared" si="17"/>
        <v>7.9</v>
      </c>
      <c r="Y50" s="20"/>
      <c r="Z50" s="20"/>
    </row>
    <row r="51" spans="1:26" x14ac:dyDescent="0.2">
      <c r="A51" s="20"/>
      <c r="B51" s="20"/>
      <c r="C51" s="20"/>
      <c r="D51" s="20"/>
      <c r="E51" s="20"/>
      <c r="F51" s="47" t="s">
        <v>233</v>
      </c>
      <c r="G51" s="47"/>
      <c r="H51" s="48">
        <v>35.6</v>
      </c>
      <c r="I51" s="48">
        <v>64.2</v>
      </c>
      <c r="J51" s="48">
        <v>7.9</v>
      </c>
      <c r="K51" s="20"/>
      <c r="L51" s="48">
        <v>3</v>
      </c>
      <c r="M51" s="20"/>
      <c r="N51" s="48">
        <v>40.1</v>
      </c>
      <c r="O51" s="48">
        <v>63</v>
      </c>
      <c r="P51" s="48">
        <v>8.6</v>
      </c>
      <c r="Q51" s="49">
        <f t="shared" si="11"/>
        <v>39.462600000000002</v>
      </c>
      <c r="R51" s="50">
        <f t="shared" si="12"/>
        <v>63.790000000000006</v>
      </c>
      <c r="S51" s="51">
        <f t="shared" si="13"/>
        <v>8.1858599999999999</v>
      </c>
      <c r="T51" s="20"/>
      <c r="U51" s="52">
        <f t="shared" si="14"/>
        <v>3</v>
      </c>
      <c r="V51" s="52">
        <f t="shared" si="15"/>
        <v>35.6</v>
      </c>
      <c r="W51" s="52">
        <f t="shared" si="16"/>
        <v>64.2</v>
      </c>
      <c r="X51" s="52">
        <f t="shared" si="17"/>
        <v>7.9</v>
      </c>
      <c r="Y51" s="20"/>
      <c r="Z51" s="20"/>
    </row>
    <row r="52" spans="1:26" x14ac:dyDescent="0.2">
      <c r="A52" s="20"/>
      <c r="B52" s="20"/>
      <c r="C52" s="20"/>
      <c r="D52" s="20"/>
      <c r="E52" s="20"/>
      <c r="F52" s="47" t="s">
        <v>234</v>
      </c>
      <c r="G52" s="47"/>
      <c r="H52" s="48">
        <v>35.6</v>
      </c>
      <c r="I52" s="48">
        <v>64.2</v>
      </c>
      <c r="J52" s="48">
        <v>7.9</v>
      </c>
      <c r="K52" s="20"/>
      <c r="L52" s="48">
        <v>3</v>
      </c>
      <c r="M52" s="20"/>
      <c r="N52" s="48">
        <v>40.1</v>
      </c>
      <c r="O52" s="48">
        <v>63</v>
      </c>
      <c r="P52" s="48">
        <v>8.6</v>
      </c>
      <c r="Q52" s="49">
        <f t="shared" si="11"/>
        <v>39.462600000000002</v>
      </c>
      <c r="R52" s="50">
        <f t="shared" si="12"/>
        <v>63.790000000000006</v>
      </c>
      <c r="S52" s="51">
        <f t="shared" si="13"/>
        <v>8.1858599999999999</v>
      </c>
      <c r="T52" s="20"/>
      <c r="U52" s="52">
        <f t="shared" si="14"/>
        <v>3</v>
      </c>
      <c r="V52" s="52">
        <f t="shared" si="15"/>
        <v>35.6</v>
      </c>
      <c r="W52" s="52">
        <f t="shared" si="16"/>
        <v>64.2</v>
      </c>
      <c r="X52" s="52">
        <f t="shared" si="17"/>
        <v>7.9</v>
      </c>
      <c r="Y52" s="20"/>
      <c r="Z52" s="20"/>
    </row>
    <row r="53" spans="1:26" x14ac:dyDescent="0.2">
      <c r="A53" s="20"/>
      <c r="B53" s="20"/>
      <c r="C53" s="20"/>
      <c r="D53" s="20"/>
      <c r="E53" s="20"/>
      <c r="F53" s="47" t="s">
        <v>235</v>
      </c>
      <c r="G53" s="47"/>
      <c r="H53" s="48">
        <v>35.6</v>
      </c>
      <c r="I53" s="48">
        <v>64.2</v>
      </c>
      <c r="J53" s="48">
        <v>7.9</v>
      </c>
      <c r="K53" s="20"/>
      <c r="L53" s="48">
        <v>3</v>
      </c>
      <c r="M53" s="20"/>
      <c r="N53" s="48">
        <v>40.1</v>
      </c>
      <c r="O53" s="48">
        <v>63</v>
      </c>
      <c r="P53" s="48">
        <v>8.6</v>
      </c>
      <c r="Q53" s="49">
        <f t="shared" si="11"/>
        <v>39.462600000000002</v>
      </c>
      <c r="R53" s="50">
        <f t="shared" si="12"/>
        <v>63.790000000000006</v>
      </c>
      <c r="S53" s="51">
        <f t="shared" si="13"/>
        <v>8.1858599999999999</v>
      </c>
      <c r="T53" s="20"/>
      <c r="U53" s="52">
        <f t="shared" si="14"/>
        <v>3</v>
      </c>
      <c r="V53" s="52">
        <f t="shared" si="15"/>
        <v>35.6</v>
      </c>
      <c r="W53" s="52">
        <f t="shared" si="16"/>
        <v>64.2</v>
      </c>
      <c r="X53" s="52">
        <f t="shared" si="17"/>
        <v>7.9</v>
      </c>
      <c r="Y53" s="20"/>
      <c r="Z53" s="20"/>
    </row>
    <row r="54" spans="1:26" x14ac:dyDescent="0.2">
      <c r="A54" s="20"/>
      <c r="B54" s="20"/>
      <c r="C54" s="20"/>
      <c r="D54" s="20"/>
      <c r="E54" s="20"/>
      <c r="F54" s="47" t="s">
        <v>236</v>
      </c>
      <c r="G54" s="47"/>
      <c r="H54" s="48">
        <v>35.6</v>
      </c>
      <c r="I54" s="48">
        <v>64.2</v>
      </c>
      <c r="J54" s="48">
        <v>7.9</v>
      </c>
      <c r="K54" s="20"/>
      <c r="L54" s="48">
        <v>3</v>
      </c>
      <c r="M54" s="20"/>
      <c r="N54" s="48">
        <v>40.1</v>
      </c>
      <c r="O54" s="48">
        <v>63</v>
      </c>
      <c r="P54" s="48">
        <v>8.6</v>
      </c>
      <c r="Q54" s="49">
        <f t="shared" si="11"/>
        <v>39.462600000000002</v>
      </c>
      <c r="R54" s="50">
        <f t="shared" si="12"/>
        <v>63.790000000000006</v>
      </c>
      <c r="S54" s="51">
        <f t="shared" si="13"/>
        <v>8.1858599999999999</v>
      </c>
      <c r="T54" s="20"/>
      <c r="U54" s="52">
        <f t="shared" si="14"/>
        <v>3</v>
      </c>
      <c r="V54" s="52">
        <f t="shared" si="15"/>
        <v>35.6</v>
      </c>
      <c r="W54" s="52">
        <f t="shared" si="16"/>
        <v>64.2</v>
      </c>
      <c r="X54" s="52">
        <f t="shared" si="17"/>
        <v>7.9</v>
      </c>
      <c r="Y54" s="20"/>
      <c r="Z54" s="20"/>
    </row>
    <row r="55" spans="1:26" x14ac:dyDescent="0.2">
      <c r="A55" s="20"/>
      <c r="B55" s="20"/>
      <c r="C55" s="20"/>
      <c r="D55" s="20"/>
      <c r="E55" s="20"/>
      <c r="F55" s="47" t="s">
        <v>237</v>
      </c>
      <c r="G55" s="47"/>
      <c r="H55" s="48">
        <v>35.6</v>
      </c>
      <c r="I55" s="48">
        <v>64.2</v>
      </c>
      <c r="J55" s="48">
        <v>7.9</v>
      </c>
      <c r="K55" s="20"/>
      <c r="L55" s="48">
        <v>3</v>
      </c>
      <c r="M55" s="20"/>
      <c r="N55" s="48">
        <v>40.1</v>
      </c>
      <c r="O55" s="48">
        <v>63</v>
      </c>
      <c r="P55" s="48">
        <v>8.6</v>
      </c>
      <c r="Q55" s="49">
        <f t="shared" si="11"/>
        <v>39.462600000000002</v>
      </c>
      <c r="R55" s="50">
        <f t="shared" si="12"/>
        <v>63.790000000000006</v>
      </c>
      <c r="S55" s="51">
        <f t="shared" si="13"/>
        <v>8.1858599999999999</v>
      </c>
      <c r="T55" s="20"/>
      <c r="U55" s="52">
        <f t="shared" si="14"/>
        <v>3</v>
      </c>
      <c r="V55" s="52">
        <f t="shared" si="15"/>
        <v>35.6</v>
      </c>
      <c r="W55" s="52">
        <f t="shared" si="16"/>
        <v>64.2</v>
      </c>
      <c r="X55" s="52">
        <f t="shared" si="17"/>
        <v>7.9</v>
      </c>
      <c r="Y55" s="20"/>
      <c r="Z55" s="20"/>
    </row>
    <row r="56" spans="1:26" x14ac:dyDescent="0.2">
      <c r="A56" s="20"/>
      <c r="B56" s="20"/>
      <c r="C56" s="20"/>
      <c r="D56" s="20"/>
      <c r="E56" s="20"/>
      <c r="F56" s="47" t="s">
        <v>238</v>
      </c>
      <c r="G56" s="47"/>
      <c r="H56" s="48">
        <v>35.6</v>
      </c>
      <c r="I56" s="48">
        <v>64.2</v>
      </c>
      <c r="J56" s="48">
        <v>7.9</v>
      </c>
      <c r="K56" s="20"/>
      <c r="L56" s="48">
        <v>3</v>
      </c>
      <c r="M56" s="20"/>
      <c r="N56" s="48">
        <v>40.1</v>
      </c>
      <c r="O56" s="48">
        <v>63</v>
      </c>
      <c r="P56" s="48">
        <v>8.6</v>
      </c>
      <c r="Q56" s="49">
        <f t="shared" si="11"/>
        <v>39.462600000000002</v>
      </c>
      <c r="R56" s="50">
        <f t="shared" si="12"/>
        <v>63.790000000000006</v>
      </c>
      <c r="S56" s="51">
        <f t="shared" si="13"/>
        <v>8.1858599999999999</v>
      </c>
      <c r="T56" s="20"/>
      <c r="U56" s="52">
        <f t="shared" si="14"/>
        <v>3</v>
      </c>
      <c r="V56" s="52">
        <f t="shared" si="15"/>
        <v>35.6</v>
      </c>
      <c r="W56" s="52">
        <f t="shared" si="16"/>
        <v>64.2</v>
      </c>
      <c r="X56" s="52">
        <f t="shared" si="17"/>
        <v>7.9</v>
      </c>
      <c r="Y56" s="20"/>
      <c r="Z56" s="20"/>
    </row>
    <row r="57" spans="1:26" x14ac:dyDescent="0.2">
      <c r="A57" s="20"/>
      <c r="B57" s="20"/>
      <c r="C57" s="20"/>
      <c r="D57" s="20"/>
      <c r="E57" s="20"/>
      <c r="F57" s="47" t="s">
        <v>239</v>
      </c>
      <c r="G57" s="47"/>
      <c r="H57" s="48">
        <v>35.6</v>
      </c>
      <c r="I57" s="48">
        <v>64.2</v>
      </c>
      <c r="J57" s="48">
        <v>7.9</v>
      </c>
      <c r="K57" s="20"/>
      <c r="L57" s="48">
        <v>3</v>
      </c>
      <c r="M57" s="20"/>
      <c r="N57" s="48">
        <v>40.1</v>
      </c>
      <c r="O57" s="48">
        <v>63</v>
      </c>
      <c r="P57" s="48">
        <v>8.6</v>
      </c>
      <c r="Q57" s="49">
        <f t="shared" si="11"/>
        <v>39.462600000000002</v>
      </c>
      <c r="R57" s="50">
        <f t="shared" si="12"/>
        <v>63.790000000000006</v>
      </c>
      <c r="S57" s="51">
        <f t="shared" si="13"/>
        <v>8.1858599999999999</v>
      </c>
      <c r="T57" s="20"/>
      <c r="U57" s="52">
        <f t="shared" si="14"/>
        <v>3</v>
      </c>
      <c r="V57" s="52">
        <f t="shared" si="15"/>
        <v>35.6</v>
      </c>
      <c r="W57" s="52">
        <f t="shared" si="16"/>
        <v>64.2</v>
      </c>
      <c r="X57" s="52">
        <f t="shared" si="17"/>
        <v>7.9</v>
      </c>
      <c r="Y57" s="20"/>
      <c r="Z57" s="20"/>
    </row>
    <row r="58" spans="1:26" x14ac:dyDescent="0.2">
      <c r="A58" s="20"/>
      <c r="B58" s="20"/>
      <c r="C58" s="20"/>
      <c r="D58" s="20"/>
      <c r="E58" s="20"/>
      <c r="F58" s="47" t="s">
        <v>240</v>
      </c>
      <c r="G58" s="47"/>
      <c r="H58" s="48">
        <v>35.6</v>
      </c>
      <c r="I58" s="48">
        <v>64.2</v>
      </c>
      <c r="J58" s="48">
        <v>7.9</v>
      </c>
      <c r="K58" s="20"/>
      <c r="L58" s="48">
        <v>3</v>
      </c>
      <c r="M58" s="20"/>
      <c r="N58" s="48">
        <v>40.1</v>
      </c>
      <c r="O58" s="48">
        <v>63</v>
      </c>
      <c r="P58" s="48">
        <v>8.6</v>
      </c>
      <c r="Q58" s="49">
        <f t="shared" si="11"/>
        <v>39.462600000000002</v>
      </c>
      <c r="R58" s="50">
        <f t="shared" si="12"/>
        <v>63.790000000000006</v>
      </c>
      <c r="S58" s="51">
        <f t="shared" si="13"/>
        <v>8.1858599999999999</v>
      </c>
      <c r="T58" s="20"/>
      <c r="U58" s="52">
        <f t="shared" si="14"/>
        <v>3</v>
      </c>
      <c r="V58" s="52">
        <f t="shared" si="15"/>
        <v>35.6</v>
      </c>
      <c r="W58" s="52">
        <f t="shared" si="16"/>
        <v>64.2</v>
      </c>
      <c r="X58" s="52">
        <f t="shared" si="17"/>
        <v>7.9</v>
      </c>
      <c r="Y58" s="20"/>
      <c r="Z58" s="20"/>
    </row>
    <row r="59" spans="1:26" x14ac:dyDescent="0.2">
      <c r="A59" s="20"/>
      <c r="B59" s="20"/>
      <c r="C59" s="20"/>
      <c r="D59" s="20"/>
      <c r="E59" s="20"/>
      <c r="F59" s="47" t="s">
        <v>241</v>
      </c>
      <c r="G59" s="47"/>
      <c r="H59" s="48">
        <v>35.6</v>
      </c>
      <c r="I59" s="48">
        <v>64.2</v>
      </c>
      <c r="J59" s="48">
        <v>7.9</v>
      </c>
      <c r="K59" s="20"/>
      <c r="L59" s="48">
        <v>3</v>
      </c>
      <c r="M59" s="20"/>
      <c r="N59" s="48">
        <v>40.1</v>
      </c>
      <c r="O59" s="48">
        <v>63</v>
      </c>
      <c r="P59" s="48">
        <v>8.6</v>
      </c>
      <c r="Q59" s="49">
        <f t="shared" si="11"/>
        <v>39.462600000000002</v>
      </c>
      <c r="R59" s="50">
        <f t="shared" si="12"/>
        <v>63.790000000000006</v>
      </c>
      <c r="S59" s="51">
        <f t="shared" si="13"/>
        <v>8.1858599999999999</v>
      </c>
      <c r="T59" s="20"/>
      <c r="U59" s="52">
        <f t="shared" si="14"/>
        <v>3</v>
      </c>
      <c r="V59" s="52">
        <f t="shared" si="15"/>
        <v>35.6</v>
      </c>
      <c r="W59" s="52">
        <f t="shared" si="16"/>
        <v>64.2</v>
      </c>
      <c r="X59" s="52">
        <f t="shared" si="17"/>
        <v>7.9</v>
      </c>
      <c r="Y59" s="20"/>
      <c r="Z59" s="20"/>
    </row>
    <row r="60" spans="1:26" x14ac:dyDescent="0.2">
      <c r="A60" s="20"/>
      <c r="B60" s="20"/>
      <c r="C60" s="20"/>
      <c r="D60" s="20"/>
      <c r="E60" s="20"/>
      <c r="F60" s="47" t="s">
        <v>242</v>
      </c>
      <c r="G60" s="47"/>
      <c r="H60" s="48">
        <v>35.6</v>
      </c>
      <c r="I60" s="48">
        <v>64.2</v>
      </c>
      <c r="J60" s="48">
        <v>7.9</v>
      </c>
      <c r="K60" s="20"/>
      <c r="L60" s="48">
        <v>3</v>
      </c>
      <c r="M60" s="20"/>
      <c r="N60" s="48">
        <v>40.1</v>
      </c>
      <c r="O60" s="48">
        <v>63</v>
      </c>
      <c r="P60" s="48">
        <v>8.6</v>
      </c>
      <c r="Q60" s="49">
        <f t="shared" si="11"/>
        <v>39.462600000000002</v>
      </c>
      <c r="R60" s="50">
        <f t="shared" si="12"/>
        <v>63.790000000000006</v>
      </c>
      <c r="S60" s="51">
        <f t="shared" si="13"/>
        <v>8.1858599999999999</v>
      </c>
      <c r="T60" s="20"/>
      <c r="U60" s="52">
        <f t="shared" si="14"/>
        <v>3</v>
      </c>
      <c r="V60" s="52">
        <f t="shared" si="15"/>
        <v>35.6</v>
      </c>
      <c r="W60" s="52">
        <f t="shared" si="16"/>
        <v>64.2</v>
      </c>
      <c r="X60" s="52">
        <f t="shared" si="17"/>
        <v>7.9</v>
      </c>
      <c r="Y60" s="20"/>
      <c r="Z60" s="20"/>
    </row>
    <row r="61" spans="1:26" x14ac:dyDescent="0.2">
      <c r="A61" s="20"/>
      <c r="B61" s="20"/>
      <c r="C61" s="20"/>
      <c r="D61" s="20"/>
      <c r="E61" s="20"/>
      <c r="F61" s="47" t="s">
        <v>243</v>
      </c>
      <c r="G61" s="47"/>
      <c r="H61" s="48">
        <v>35.6</v>
      </c>
      <c r="I61" s="48">
        <v>64.2</v>
      </c>
      <c r="J61" s="48">
        <v>7.9</v>
      </c>
      <c r="K61" s="20"/>
      <c r="L61" s="48">
        <v>3</v>
      </c>
      <c r="M61" s="20"/>
      <c r="N61" s="48">
        <v>40.1</v>
      </c>
      <c r="O61" s="48">
        <v>63</v>
      </c>
      <c r="P61" s="48">
        <v>8.6</v>
      </c>
      <c r="Q61" s="49">
        <f t="shared" si="11"/>
        <v>39.462600000000002</v>
      </c>
      <c r="R61" s="50">
        <f t="shared" si="12"/>
        <v>63.790000000000006</v>
      </c>
      <c r="S61" s="51">
        <f t="shared" si="13"/>
        <v>8.1858599999999999</v>
      </c>
      <c r="T61" s="20"/>
      <c r="U61" s="52">
        <f t="shared" si="14"/>
        <v>3</v>
      </c>
      <c r="V61" s="52">
        <f t="shared" si="15"/>
        <v>35.6</v>
      </c>
      <c r="W61" s="52">
        <f t="shared" si="16"/>
        <v>64.2</v>
      </c>
      <c r="X61" s="52">
        <f t="shared" si="17"/>
        <v>7.9</v>
      </c>
      <c r="Y61" s="20"/>
      <c r="Z61" s="20"/>
    </row>
    <row r="62" spans="1:26" x14ac:dyDescent="0.2">
      <c r="A62" s="20"/>
      <c r="B62" s="20"/>
      <c r="C62" s="20"/>
      <c r="D62" s="20"/>
      <c r="E62" s="20"/>
      <c r="F62" s="47" t="s">
        <v>244</v>
      </c>
      <c r="G62" s="47"/>
      <c r="H62" s="48">
        <v>35.6</v>
      </c>
      <c r="I62" s="48">
        <v>64.2</v>
      </c>
      <c r="J62" s="48">
        <v>7.9</v>
      </c>
      <c r="K62" s="20"/>
      <c r="L62" s="48">
        <v>3</v>
      </c>
      <c r="M62" s="20"/>
      <c r="N62" s="48">
        <v>40.1</v>
      </c>
      <c r="O62" s="48">
        <v>63</v>
      </c>
      <c r="P62" s="48">
        <v>8.6</v>
      </c>
      <c r="Q62" s="49">
        <f t="shared" si="11"/>
        <v>39.462600000000002</v>
      </c>
      <c r="R62" s="50">
        <f t="shared" si="12"/>
        <v>63.790000000000006</v>
      </c>
      <c r="S62" s="51">
        <f t="shared" si="13"/>
        <v>8.1858599999999999</v>
      </c>
      <c r="T62" s="20"/>
      <c r="U62" s="52">
        <f t="shared" si="14"/>
        <v>3</v>
      </c>
      <c r="V62" s="52">
        <f t="shared" si="15"/>
        <v>35.6</v>
      </c>
      <c r="W62" s="52">
        <f t="shared" si="16"/>
        <v>64.2</v>
      </c>
      <c r="X62" s="52">
        <f t="shared" si="17"/>
        <v>7.9</v>
      </c>
      <c r="Y62" s="20"/>
      <c r="Z62" s="20"/>
    </row>
    <row r="63" spans="1:26" x14ac:dyDescent="0.2">
      <c r="A63" s="20"/>
      <c r="B63" s="20"/>
      <c r="C63" s="20"/>
      <c r="D63" s="20"/>
      <c r="E63" s="20"/>
      <c r="F63" s="47" t="s">
        <v>245</v>
      </c>
      <c r="G63" s="47"/>
      <c r="H63" s="48">
        <v>35.6</v>
      </c>
      <c r="I63" s="48">
        <v>64.2</v>
      </c>
      <c r="J63" s="48">
        <v>7.9</v>
      </c>
      <c r="K63" s="20"/>
      <c r="L63" s="48">
        <v>3</v>
      </c>
      <c r="M63" s="20"/>
      <c r="N63" s="48">
        <v>40.1</v>
      </c>
      <c r="O63" s="48">
        <v>63</v>
      </c>
      <c r="P63" s="48">
        <v>8.6</v>
      </c>
      <c r="Q63" s="49">
        <f t="shared" si="11"/>
        <v>39.462600000000002</v>
      </c>
      <c r="R63" s="50">
        <f t="shared" si="12"/>
        <v>63.790000000000006</v>
      </c>
      <c r="S63" s="51">
        <f t="shared" si="13"/>
        <v>8.1858599999999999</v>
      </c>
      <c r="T63" s="20"/>
      <c r="U63" s="52">
        <f t="shared" si="14"/>
        <v>3</v>
      </c>
      <c r="V63" s="52">
        <f t="shared" si="15"/>
        <v>35.6</v>
      </c>
      <c r="W63" s="52">
        <f t="shared" si="16"/>
        <v>64.2</v>
      </c>
      <c r="X63" s="52">
        <f t="shared" si="17"/>
        <v>7.9</v>
      </c>
      <c r="Y63" s="20"/>
      <c r="Z63" s="20"/>
    </row>
    <row r="64" spans="1:26" x14ac:dyDescent="0.2">
      <c r="A64" s="20"/>
      <c r="B64" s="20"/>
      <c r="C64" s="20"/>
      <c r="D64" s="20"/>
      <c r="E64" s="20"/>
      <c r="F64" s="47" t="s">
        <v>246</v>
      </c>
      <c r="G64" s="47"/>
      <c r="H64" s="48">
        <v>35.6</v>
      </c>
      <c r="I64" s="48">
        <v>64.2</v>
      </c>
      <c r="J64" s="48">
        <v>7.9</v>
      </c>
      <c r="K64" s="20"/>
      <c r="L64" s="48">
        <v>3</v>
      </c>
      <c r="M64" s="20"/>
      <c r="N64" s="48">
        <v>40.1</v>
      </c>
      <c r="O64" s="48">
        <v>63</v>
      </c>
      <c r="P64" s="48">
        <v>8.6</v>
      </c>
      <c r="Q64" s="49">
        <f t="shared" si="11"/>
        <v>39.462600000000002</v>
      </c>
      <c r="R64" s="50">
        <f t="shared" si="12"/>
        <v>63.790000000000006</v>
      </c>
      <c r="S64" s="51">
        <f t="shared" si="13"/>
        <v>8.1858599999999999</v>
      </c>
      <c r="T64" s="20"/>
      <c r="U64" s="52">
        <f t="shared" si="14"/>
        <v>3</v>
      </c>
      <c r="V64" s="52">
        <f t="shared" si="15"/>
        <v>35.6</v>
      </c>
      <c r="W64" s="52">
        <f t="shared" si="16"/>
        <v>64.2</v>
      </c>
      <c r="X64" s="52">
        <f t="shared" si="17"/>
        <v>7.9</v>
      </c>
      <c r="Y64" s="20"/>
      <c r="Z64" s="20"/>
    </row>
    <row r="65" spans="1:26" x14ac:dyDescent="0.2">
      <c r="A65" s="20"/>
      <c r="B65" s="20"/>
      <c r="C65" s="20"/>
      <c r="D65" s="20"/>
      <c r="E65" s="20"/>
      <c r="F65" s="47" t="s">
        <v>247</v>
      </c>
      <c r="G65" s="47"/>
      <c r="H65" s="48">
        <v>35.6</v>
      </c>
      <c r="I65" s="48">
        <v>64.2</v>
      </c>
      <c r="J65" s="48">
        <v>7.9</v>
      </c>
      <c r="K65" s="20"/>
      <c r="L65" s="48">
        <v>3</v>
      </c>
      <c r="M65" s="20"/>
      <c r="N65" s="48">
        <v>40.1</v>
      </c>
      <c r="O65" s="48">
        <v>63</v>
      </c>
      <c r="P65" s="48">
        <v>8.6</v>
      </c>
      <c r="Q65" s="49">
        <f t="shared" si="11"/>
        <v>39.462600000000002</v>
      </c>
      <c r="R65" s="50">
        <f t="shared" si="12"/>
        <v>63.790000000000006</v>
      </c>
      <c r="S65" s="51">
        <f t="shared" si="13"/>
        <v>8.1858599999999999</v>
      </c>
      <c r="T65" s="20"/>
      <c r="U65" s="52">
        <f t="shared" si="14"/>
        <v>3</v>
      </c>
      <c r="V65" s="52">
        <f t="shared" si="15"/>
        <v>35.6</v>
      </c>
      <c r="W65" s="52">
        <f t="shared" si="16"/>
        <v>64.2</v>
      </c>
      <c r="X65" s="52">
        <f t="shared" si="17"/>
        <v>7.9</v>
      </c>
      <c r="Y65" s="20"/>
      <c r="Z65" s="20"/>
    </row>
    <row r="66" spans="1:26" x14ac:dyDescent="0.2">
      <c r="A66" s="20"/>
      <c r="B66" s="20"/>
      <c r="C66" s="20"/>
      <c r="D66" s="20"/>
      <c r="E66" s="20"/>
      <c r="F66" s="47" t="s">
        <v>248</v>
      </c>
      <c r="G66" s="47"/>
      <c r="H66" s="48">
        <v>35.6</v>
      </c>
      <c r="I66" s="48">
        <v>64.2</v>
      </c>
      <c r="J66" s="48">
        <v>7.9</v>
      </c>
      <c r="K66" s="20"/>
      <c r="L66" s="48">
        <v>3</v>
      </c>
      <c r="M66" s="20"/>
      <c r="N66" s="48">
        <v>40.1</v>
      </c>
      <c r="O66" s="48">
        <v>63</v>
      </c>
      <c r="P66" s="48">
        <v>8.6</v>
      </c>
      <c r="Q66" s="49">
        <f t="shared" si="11"/>
        <v>39.462600000000002</v>
      </c>
      <c r="R66" s="50">
        <f t="shared" si="12"/>
        <v>63.790000000000006</v>
      </c>
      <c r="S66" s="51">
        <f t="shared" si="13"/>
        <v>8.1858599999999999</v>
      </c>
      <c r="T66" s="20"/>
      <c r="U66" s="52">
        <f t="shared" si="14"/>
        <v>3</v>
      </c>
      <c r="V66" s="52">
        <f t="shared" si="15"/>
        <v>35.6</v>
      </c>
      <c r="W66" s="52">
        <f t="shared" si="16"/>
        <v>64.2</v>
      </c>
      <c r="X66" s="52">
        <f t="shared" si="17"/>
        <v>7.9</v>
      </c>
      <c r="Y66" s="20"/>
      <c r="Z66" s="20"/>
    </row>
    <row r="67" spans="1:26" x14ac:dyDescent="0.2">
      <c r="A67" s="20"/>
      <c r="B67" s="20"/>
      <c r="C67" s="20"/>
      <c r="D67" s="20"/>
      <c r="E67" s="20"/>
      <c r="F67" s="47" t="s">
        <v>249</v>
      </c>
      <c r="G67" s="47"/>
      <c r="H67" s="48">
        <v>35.6</v>
      </c>
      <c r="I67" s="48">
        <v>64.2</v>
      </c>
      <c r="J67" s="48">
        <v>7.9</v>
      </c>
      <c r="K67" s="20"/>
      <c r="L67" s="48">
        <v>3</v>
      </c>
      <c r="M67" s="20"/>
      <c r="N67" s="48">
        <v>40.1</v>
      </c>
      <c r="O67" s="48">
        <v>63</v>
      </c>
      <c r="P67" s="48">
        <v>8.6</v>
      </c>
      <c r="Q67" s="49">
        <f t="shared" si="11"/>
        <v>39.462600000000002</v>
      </c>
      <c r="R67" s="50">
        <f t="shared" si="12"/>
        <v>63.790000000000006</v>
      </c>
      <c r="S67" s="51">
        <f t="shared" si="13"/>
        <v>8.1858599999999999</v>
      </c>
      <c r="T67" s="20"/>
      <c r="U67" s="52">
        <f t="shared" si="14"/>
        <v>3</v>
      </c>
      <c r="V67" s="52">
        <f t="shared" si="15"/>
        <v>35.6</v>
      </c>
      <c r="W67" s="52">
        <f t="shared" si="16"/>
        <v>64.2</v>
      </c>
      <c r="X67" s="52">
        <f t="shared" si="17"/>
        <v>7.9</v>
      </c>
      <c r="Y67" s="20"/>
      <c r="Z67" s="20"/>
    </row>
    <row r="68" spans="1:26" x14ac:dyDescent="0.2">
      <c r="A68" s="20"/>
      <c r="B68" s="20"/>
      <c r="C68" s="20"/>
      <c r="D68" s="20"/>
      <c r="E68" s="20"/>
      <c r="F68" s="47" t="s">
        <v>250</v>
      </c>
      <c r="G68" s="47"/>
      <c r="H68" s="48">
        <v>35.6</v>
      </c>
      <c r="I68" s="48">
        <v>64.2</v>
      </c>
      <c r="J68" s="48">
        <v>7.9</v>
      </c>
      <c r="K68" s="20"/>
      <c r="L68" s="48">
        <v>3</v>
      </c>
      <c r="M68" s="20"/>
      <c r="N68" s="48">
        <v>40.1</v>
      </c>
      <c r="O68" s="48">
        <v>63</v>
      </c>
      <c r="P68" s="48">
        <v>8.6</v>
      </c>
      <c r="Q68" s="49">
        <f t="shared" si="11"/>
        <v>39.462600000000002</v>
      </c>
      <c r="R68" s="50">
        <f t="shared" si="12"/>
        <v>63.790000000000006</v>
      </c>
      <c r="S68" s="51">
        <f t="shared" si="13"/>
        <v>8.1858599999999999</v>
      </c>
      <c r="T68" s="20"/>
      <c r="U68" s="52">
        <f t="shared" si="14"/>
        <v>3</v>
      </c>
      <c r="V68" s="52">
        <f t="shared" si="15"/>
        <v>35.6</v>
      </c>
      <c r="W68" s="52">
        <f t="shared" si="16"/>
        <v>64.2</v>
      </c>
      <c r="X68" s="52">
        <f t="shared" si="17"/>
        <v>7.9</v>
      </c>
      <c r="Y68" s="20"/>
      <c r="Z68" s="20"/>
    </row>
    <row r="69" spans="1:26" x14ac:dyDescent="0.2">
      <c r="A69" s="20"/>
      <c r="B69" s="20"/>
      <c r="C69" s="20"/>
      <c r="D69" s="20"/>
      <c r="E69" s="20"/>
      <c r="F69" s="47" t="s">
        <v>251</v>
      </c>
      <c r="G69" s="47"/>
      <c r="H69" s="48">
        <v>35.6</v>
      </c>
      <c r="I69" s="48">
        <v>64.2</v>
      </c>
      <c r="J69" s="48">
        <v>7.9</v>
      </c>
      <c r="K69" s="20"/>
      <c r="L69" s="48">
        <v>3</v>
      </c>
      <c r="M69" s="20"/>
      <c r="N69" s="48">
        <v>40.1</v>
      </c>
      <c r="O69" s="48">
        <v>63</v>
      </c>
      <c r="P69" s="48">
        <v>8.6</v>
      </c>
      <c r="Q69" s="49">
        <f t="shared" si="11"/>
        <v>39.462600000000002</v>
      </c>
      <c r="R69" s="50">
        <f t="shared" si="12"/>
        <v>63.790000000000006</v>
      </c>
      <c r="S69" s="51">
        <f t="shared" si="13"/>
        <v>8.1858599999999999</v>
      </c>
      <c r="T69" s="20"/>
      <c r="U69" s="52">
        <f t="shared" si="14"/>
        <v>3</v>
      </c>
      <c r="V69" s="52">
        <f t="shared" si="15"/>
        <v>35.6</v>
      </c>
      <c r="W69" s="52">
        <f t="shared" si="16"/>
        <v>64.2</v>
      </c>
      <c r="X69" s="52">
        <f t="shared" si="17"/>
        <v>7.9</v>
      </c>
      <c r="Y69" s="20"/>
      <c r="Z69" s="20"/>
    </row>
    <row r="70" spans="1:26" x14ac:dyDescent="0.2">
      <c r="A70" s="20"/>
      <c r="B70" s="20"/>
      <c r="C70" s="20"/>
      <c r="D70" s="20"/>
      <c r="E70" s="20"/>
      <c r="F70" s="47" t="s">
        <v>252</v>
      </c>
      <c r="G70" s="47"/>
      <c r="H70" s="48">
        <v>35.6</v>
      </c>
      <c r="I70" s="48">
        <v>64.2</v>
      </c>
      <c r="J70" s="48">
        <v>7.9</v>
      </c>
      <c r="K70" s="20"/>
      <c r="L70" s="48">
        <v>3</v>
      </c>
      <c r="M70" s="20"/>
      <c r="N70" s="48">
        <v>40.1</v>
      </c>
      <c r="O70" s="48">
        <v>63</v>
      </c>
      <c r="P70" s="48">
        <v>8.6</v>
      </c>
      <c r="Q70" s="49">
        <f t="shared" si="11"/>
        <v>39.462600000000002</v>
      </c>
      <c r="R70" s="50">
        <f t="shared" si="12"/>
        <v>63.790000000000006</v>
      </c>
      <c r="S70" s="51">
        <f t="shared" si="13"/>
        <v>8.1858599999999999</v>
      </c>
      <c r="T70" s="20"/>
      <c r="U70" s="52">
        <f t="shared" si="14"/>
        <v>3</v>
      </c>
      <c r="V70" s="52">
        <f t="shared" si="15"/>
        <v>35.6</v>
      </c>
      <c r="W70" s="52">
        <f t="shared" si="16"/>
        <v>64.2</v>
      </c>
      <c r="X70" s="52">
        <f t="shared" si="17"/>
        <v>7.9</v>
      </c>
      <c r="Y70" s="20"/>
      <c r="Z70" s="20"/>
    </row>
    <row r="71" spans="1:26" x14ac:dyDescent="0.2">
      <c r="A71" s="20"/>
      <c r="B71" s="20"/>
      <c r="C71" s="20"/>
      <c r="D71" s="20"/>
      <c r="E71" s="20"/>
      <c r="F71" s="47" t="s">
        <v>253</v>
      </c>
      <c r="G71" s="47"/>
      <c r="H71" s="48">
        <v>35.6</v>
      </c>
      <c r="I71" s="48">
        <v>64.2</v>
      </c>
      <c r="J71" s="48">
        <v>7.9</v>
      </c>
      <c r="K71" s="20"/>
      <c r="L71" s="48">
        <v>3</v>
      </c>
      <c r="M71" s="20"/>
      <c r="N71" s="48">
        <v>40.1</v>
      </c>
      <c r="O71" s="48">
        <v>63</v>
      </c>
      <c r="P71" s="48">
        <v>8.6</v>
      </c>
      <c r="Q71" s="49">
        <f t="shared" si="11"/>
        <v>39.462600000000002</v>
      </c>
      <c r="R71" s="50">
        <f t="shared" si="12"/>
        <v>63.790000000000006</v>
      </c>
      <c r="S71" s="51">
        <f t="shared" si="13"/>
        <v>8.1858599999999999</v>
      </c>
      <c r="T71" s="20"/>
      <c r="U71" s="52">
        <f t="shared" si="14"/>
        <v>3</v>
      </c>
      <c r="V71" s="52">
        <f t="shared" si="15"/>
        <v>35.6</v>
      </c>
      <c r="W71" s="52">
        <f t="shared" si="16"/>
        <v>64.2</v>
      </c>
      <c r="X71" s="52">
        <f t="shared" si="17"/>
        <v>7.9</v>
      </c>
      <c r="Y71" s="20"/>
      <c r="Z71" s="20"/>
    </row>
    <row r="72" spans="1:26" x14ac:dyDescent="0.2">
      <c r="A72" s="20"/>
      <c r="B72" s="20"/>
      <c r="C72" s="20"/>
      <c r="D72" s="20"/>
      <c r="E72" s="20"/>
      <c r="F72" s="47" t="s">
        <v>254</v>
      </c>
      <c r="G72" s="47"/>
      <c r="H72" s="48">
        <v>35.6</v>
      </c>
      <c r="I72" s="48">
        <v>64.2</v>
      </c>
      <c r="J72" s="48">
        <v>7.9</v>
      </c>
      <c r="K72" s="20"/>
      <c r="L72" s="48">
        <v>3</v>
      </c>
      <c r="M72" s="20"/>
      <c r="N72" s="48">
        <v>40.1</v>
      </c>
      <c r="O72" s="48">
        <v>63</v>
      </c>
      <c r="P72" s="48">
        <v>8.6</v>
      </c>
      <c r="Q72" s="49">
        <f t="shared" si="11"/>
        <v>39.462600000000002</v>
      </c>
      <c r="R72" s="50">
        <f t="shared" si="12"/>
        <v>63.790000000000006</v>
      </c>
      <c r="S72" s="51">
        <f t="shared" si="13"/>
        <v>8.1858599999999999</v>
      </c>
      <c r="T72" s="20"/>
      <c r="U72" s="52">
        <f t="shared" si="14"/>
        <v>3</v>
      </c>
      <c r="V72" s="52">
        <f t="shared" si="15"/>
        <v>35.6</v>
      </c>
      <c r="W72" s="52">
        <f t="shared" si="16"/>
        <v>64.2</v>
      </c>
      <c r="X72" s="52">
        <f t="shared" si="17"/>
        <v>7.9</v>
      </c>
      <c r="Y72" s="20"/>
      <c r="Z72" s="20"/>
    </row>
    <row r="73" spans="1:26" x14ac:dyDescent="0.2">
      <c r="A73" s="20"/>
      <c r="B73" s="20"/>
      <c r="C73" s="20"/>
      <c r="D73" s="20"/>
      <c r="E73" s="20"/>
      <c r="F73" s="47" t="s">
        <v>255</v>
      </c>
      <c r="G73" s="47"/>
      <c r="H73" s="48">
        <v>35.6</v>
      </c>
      <c r="I73" s="48">
        <v>64.2</v>
      </c>
      <c r="J73" s="48">
        <v>7.9</v>
      </c>
      <c r="K73" s="20"/>
      <c r="L73" s="48">
        <v>3</v>
      </c>
      <c r="M73" s="20"/>
      <c r="N73" s="48">
        <v>40.1</v>
      </c>
      <c r="O73" s="48">
        <v>63</v>
      </c>
      <c r="P73" s="48">
        <v>8.6</v>
      </c>
      <c r="Q73" s="49">
        <f t="shared" si="11"/>
        <v>39.462600000000002</v>
      </c>
      <c r="R73" s="50">
        <f t="shared" si="12"/>
        <v>63.790000000000006</v>
      </c>
      <c r="S73" s="51">
        <f t="shared" si="13"/>
        <v>8.1858599999999999</v>
      </c>
      <c r="T73" s="20"/>
      <c r="U73" s="52">
        <f t="shared" si="14"/>
        <v>3</v>
      </c>
      <c r="V73" s="52">
        <f t="shared" si="15"/>
        <v>35.6</v>
      </c>
      <c r="W73" s="52">
        <f t="shared" si="16"/>
        <v>64.2</v>
      </c>
      <c r="X73" s="52">
        <f t="shared" si="17"/>
        <v>7.9</v>
      </c>
      <c r="Y73" s="20"/>
      <c r="Z73" s="20"/>
    </row>
    <row r="74" spans="1:26" x14ac:dyDescent="0.2">
      <c r="A74" s="20"/>
      <c r="B74" s="20"/>
      <c r="C74" s="20"/>
      <c r="D74" s="20"/>
      <c r="E74" s="20"/>
      <c r="F74" s="47" t="s">
        <v>256</v>
      </c>
      <c r="G74" s="47"/>
      <c r="H74" s="48">
        <v>35.6</v>
      </c>
      <c r="I74" s="48">
        <v>64.2</v>
      </c>
      <c r="J74" s="48">
        <v>7.9</v>
      </c>
      <c r="K74" s="20"/>
      <c r="L74" s="48">
        <v>3</v>
      </c>
      <c r="M74" s="20"/>
      <c r="N74" s="48">
        <v>40.1</v>
      </c>
      <c r="O74" s="48">
        <v>63</v>
      </c>
      <c r="P74" s="48">
        <v>8.6</v>
      </c>
      <c r="Q74" s="49">
        <f t="shared" si="11"/>
        <v>39.462600000000002</v>
      </c>
      <c r="R74" s="50">
        <f t="shared" si="12"/>
        <v>63.790000000000006</v>
      </c>
      <c r="S74" s="51">
        <f t="shared" si="13"/>
        <v>8.1858599999999999</v>
      </c>
      <c r="T74" s="20"/>
      <c r="U74" s="52">
        <f t="shared" si="14"/>
        <v>3</v>
      </c>
      <c r="V74" s="52">
        <f t="shared" si="15"/>
        <v>35.6</v>
      </c>
      <c r="W74" s="52">
        <f t="shared" si="16"/>
        <v>64.2</v>
      </c>
      <c r="X74" s="52">
        <f t="shared" si="17"/>
        <v>7.9</v>
      </c>
      <c r="Y74" s="20"/>
      <c r="Z74" s="20"/>
    </row>
    <row r="75" spans="1:26" x14ac:dyDescent="0.2">
      <c r="A75" s="20"/>
      <c r="B75" s="20"/>
      <c r="C75" s="20"/>
      <c r="D75" s="20"/>
      <c r="E75" s="20"/>
      <c r="F75" s="47" t="s">
        <v>257</v>
      </c>
      <c r="G75" s="47"/>
      <c r="H75" s="48">
        <v>35.6</v>
      </c>
      <c r="I75" s="48">
        <v>64.2</v>
      </c>
      <c r="J75" s="48">
        <v>7.9</v>
      </c>
      <c r="K75" s="20"/>
      <c r="L75" s="48">
        <v>3</v>
      </c>
      <c r="M75" s="20"/>
      <c r="N75" s="48">
        <v>40.1</v>
      </c>
      <c r="O75" s="48">
        <v>63</v>
      </c>
      <c r="P75" s="48">
        <v>8.6</v>
      </c>
      <c r="Q75" s="49">
        <f t="shared" si="11"/>
        <v>39.462600000000002</v>
      </c>
      <c r="R75" s="50">
        <f t="shared" si="12"/>
        <v>63.790000000000006</v>
      </c>
      <c r="S75" s="51">
        <f t="shared" si="13"/>
        <v>8.1858599999999999</v>
      </c>
      <c r="T75" s="20"/>
      <c r="U75" s="52">
        <f t="shared" si="14"/>
        <v>3</v>
      </c>
      <c r="V75" s="52">
        <f t="shared" si="15"/>
        <v>35.6</v>
      </c>
      <c r="W75" s="52">
        <f t="shared" si="16"/>
        <v>64.2</v>
      </c>
      <c r="X75" s="52">
        <f t="shared" si="17"/>
        <v>7.9</v>
      </c>
      <c r="Y75" s="20"/>
      <c r="Z75" s="20"/>
    </row>
    <row r="76" spans="1:26" x14ac:dyDescent="0.2">
      <c r="A76" s="20"/>
      <c r="B76" s="20"/>
      <c r="C76" s="20"/>
      <c r="D76" s="20"/>
      <c r="E76" s="20"/>
      <c r="F76" s="47" t="s">
        <v>258</v>
      </c>
      <c r="G76" s="47"/>
      <c r="H76" s="48">
        <v>35.6</v>
      </c>
      <c r="I76" s="48">
        <v>64.2</v>
      </c>
      <c r="J76" s="48">
        <v>7.9</v>
      </c>
      <c r="K76" s="20"/>
      <c r="L76" s="48">
        <v>3</v>
      </c>
      <c r="M76" s="20"/>
      <c r="N76" s="48">
        <v>40.1</v>
      </c>
      <c r="O76" s="48">
        <v>63</v>
      </c>
      <c r="P76" s="48">
        <v>8.6</v>
      </c>
      <c r="Q76" s="49">
        <f t="shared" si="11"/>
        <v>39.462600000000002</v>
      </c>
      <c r="R76" s="50">
        <f t="shared" si="12"/>
        <v>63.790000000000006</v>
      </c>
      <c r="S76" s="51">
        <f t="shared" si="13"/>
        <v>8.1858599999999999</v>
      </c>
      <c r="T76" s="20"/>
      <c r="U76" s="52">
        <f t="shared" si="14"/>
        <v>3</v>
      </c>
      <c r="V76" s="52">
        <f t="shared" si="15"/>
        <v>35.6</v>
      </c>
      <c r="W76" s="52">
        <f t="shared" si="16"/>
        <v>64.2</v>
      </c>
      <c r="X76" s="52">
        <f t="shared" si="17"/>
        <v>7.9</v>
      </c>
      <c r="Y76" s="20"/>
      <c r="Z76" s="20"/>
    </row>
    <row r="77" spans="1:26" x14ac:dyDescent="0.2">
      <c r="A77" s="20"/>
      <c r="B77" s="20"/>
      <c r="C77" s="20"/>
      <c r="D77" s="20"/>
      <c r="E77" s="20"/>
      <c r="F77" s="47" t="s">
        <v>259</v>
      </c>
      <c r="G77" s="47"/>
      <c r="H77" s="48">
        <v>35.6</v>
      </c>
      <c r="I77" s="48">
        <v>64.2</v>
      </c>
      <c r="J77" s="48">
        <v>7.9</v>
      </c>
      <c r="K77" s="20"/>
      <c r="L77" s="48">
        <v>3</v>
      </c>
      <c r="M77" s="20"/>
      <c r="N77" s="48">
        <v>40.1</v>
      </c>
      <c r="O77" s="48">
        <v>63</v>
      </c>
      <c r="P77" s="48">
        <v>8.6</v>
      </c>
      <c r="Q77" s="49">
        <f t="shared" si="11"/>
        <v>39.462600000000002</v>
      </c>
      <c r="R77" s="50">
        <f t="shared" si="12"/>
        <v>63.790000000000006</v>
      </c>
      <c r="S77" s="51">
        <f t="shared" si="13"/>
        <v>8.1858599999999999</v>
      </c>
      <c r="T77" s="20"/>
      <c r="U77" s="52">
        <f t="shared" si="14"/>
        <v>3</v>
      </c>
      <c r="V77" s="52">
        <f t="shared" si="15"/>
        <v>35.6</v>
      </c>
      <c r="W77" s="52">
        <f t="shared" si="16"/>
        <v>64.2</v>
      </c>
      <c r="X77" s="52">
        <f t="shared" si="17"/>
        <v>7.9</v>
      </c>
      <c r="Y77" s="20"/>
      <c r="Z77" s="20"/>
    </row>
    <row r="78" spans="1:26" x14ac:dyDescent="0.2">
      <c r="A78" s="20"/>
      <c r="B78" s="20"/>
      <c r="C78" s="20"/>
      <c r="D78" s="20"/>
      <c r="E78" s="20"/>
      <c r="F78" s="47" t="s">
        <v>260</v>
      </c>
      <c r="G78" s="47"/>
      <c r="H78" s="48">
        <v>35.6</v>
      </c>
      <c r="I78" s="48">
        <v>64.2</v>
      </c>
      <c r="J78" s="48">
        <v>7.9</v>
      </c>
      <c r="K78" s="20"/>
      <c r="L78" s="48">
        <v>3</v>
      </c>
      <c r="M78" s="20"/>
      <c r="N78" s="48">
        <v>40.1</v>
      </c>
      <c r="O78" s="48">
        <v>63</v>
      </c>
      <c r="P78" s="48">
        <v>8.6</v>
      </c>
      <c r="Q78" s="49">
        <f t="shared" si="11"/>
        <v>39.462600000000002</v>
      </c>
      <c r="R78" s="50">
        <f t="shared" si="12"/>
        <v>63.790000000000006</v>
      </c>
      <c r="S78" s="51">
        <f t="shared" si="13"/>
        <v>8.1858599999999999</v>
      </c>
      <c r="T78" s="20"/>
      <c r="U78" s="52">
        <f t="shared" si="14"/>
        <v>3</v>
      </c>
      <c r="V78" s="52">
        <f t="shared" si="15"/>
        <v>35.6</v>
      </c>
      <c r="W78" s="52">
        <f t="shared" si="16"/>
        <v>64.2</v>
      </c>
      <c r="X78" s="52">
        <f t="shared" si="17"/>
        <v>7.9</v>
      </c>
      <c r="Y78" s="20"/>
      <c r="Z78" s="20"/>
    </row>
    <row r="79" spans="1:26" x14ac:dyDescent="0.2">
      <c r="A79" s="20"/>
      <c r="B79" s="20"/>
      <c r="C79" s="20"/>
      <c r="D79" s="20"/>
      <c r="E79" s="20"/>
      <c r="F79" s="47" t="s">
        <v>261</v>
      </c>
      <c r="G79" s="47"/>
      <c r="H79" s="48">
        <v>35.6</v>
      </c>
      <c r="I79" s="48">
        <v>64.2</v>
      </c>
      <c r="J79" s="48">
        <v>7.9</v>
      </c>
      <c r="K79" s="20"/>
      <c r="L79" s="48">
        <v>3</v>
      </c>
      <c r="M79" s="20"/>
      <c r="N79" s="48">
        <v>40.1</v>
      </c>
      <c r="O79" s="48">
        <v>63</v>
      </c>
      <c r="P79" s="48">
        <v>8.6</v>
      </c>
      <c r="Q79" s="49">
        <f t="shared" si="11"/>
        <v>39.462600000000002</v>
      </c>
      <c r="R79" s="50">
        <f t="shared" si="12"/>
        <v>63.790000000000006</v>
      </c>
      <c r="S79" s="51">
        <f t="shared" si="13"/>
        <v>8.1858599999999999</v>
      </c>
      <c r="T79" s="20"/>
      <c r="U79" s="52">
        <f t="shared" si="14"/>
        <v>3</v>
      </c>
      <c r="V79" s="52">
        <f t="shared" si="15"/>
        <v>35.6</v>
      </c>
      <c r="W79" s="52">
        <f t="shared" si="16"/>
        <v>64.2</v>
      </c>
      <c r="X79" s="52">
        <f t="shared" si="17"/>
        <v>7.9</v>
      </c>
      <c r="Y79" s="20"/>
      <c r="Z79" s="20"/>
    </row>
    <row r="80" spans="1:26" x14ac:dyDescent="0.2">
      <c r="A80" s="20"/>
      <c r="B80" s="20"/>
      <c r="C80" s="20"/>
      <c r="D80" s="20"/>
      <c r="E80" s="20"/>
      <c r="F80" s="47" t="s">
        <v>262</v>
      </c>
      <c r="G80" s="47"/>
      <c r="H80" s="48">
        <v>35.6</v>
      </c>
      <c r="I80" s="48">
        <v>64.2</v>
      </c>
      <c r="J80" s="48">
        <v>7.9</v>
      </c>
      <c r="K80" s="20"/>
      <c r="L80" s="48">
        <v>3</v>
      </c>
      <c r="M80" s="20"/>
      <c r="N80" s="48">
        <v>40.1</v>
      </c>
      <c r="O80" s="48">
        <v>63</v>
      </c>
      <c r="P80" s="48">
        <v>8.6</v>
      </c>
      <c r="Q80" s="49">
        <f t="shared" si="11"/>
        <v>39.462600000000002</v>
      </c>
      <c r="R80" s="50">
        <f t="shared" si="12"/>
        <v>63.790000000000006</v>
      </c>
      <c r="S80" s="51">
        <f t="shared" si="13"/>
        <v>8.1858599999999999</v>
      </c>
      <c r="T80" s="20"/>
      <c r="U80" s="52">
        <f t="shared" si="14"/>
        <v>3</v>
      </c>
      <c r="V80" s="52">
        <f t="shared" si="15"/>
        <v>35.6</v>
      </c>
      <c r="W80" s="52">
        <f t="shared" si="16"/>
        <v>64.2</v>
      </c>
      <c r="X80" s="52">
        <f t="shared" si="17"/>
        <v>7.9</v>
      </c>
      <c r="Y80" s="20"/>
      <c r="Z80" s="20"/>
    </row>
    <row r="81" spans="1:26" x14ac:dyDescent="0.2">
      <c r="A81" s="20"/>
      <c r="B81" s="20"/>
      <c r="C81" s="20"/>
      <c r="D81" s="20"/>
      <c r="E81" s="20"/>
      <c r="F81" s="47" t="s">
        <v>263</v>
      </c>
      <c r="G81" s="47"/>
      <c r="H81" s="48">
        <v>35.6</v>
      </c>
      <c r="I81" s="48">
        <v>64.2</v>
      </c>
      <c r="J81" s="48">
        <v>7.9</v>
      </c>
      <c r="K81" s="20"/>
      <c r="L81" s="48">
        <v>3</v>
      </c>
      <c r="M81" s="20"/>
      <c r="N81" s="48">
        <v>40.1</v>
      </c>
      <c r="O81" s="48">
        <v>63</v>
      </c>
      <c r="P81" s="48">
        <v>8.6</v>
      </c>
      <c r="Q81" s="49">
        <f t="shared" si="11"/>
        <v>39.462600000000002</v>
      </c>
      <c r="R81" s="50">
        <f t="shared" si="12"/>
        <v>63.790000000000006</v>
      </c>
      <c r="S81" s="51">
        <f t="shared" si="13"/>
        <v>8.1858599999999999</v>
      </c>
      <c r="T81" s="20"/>
      <c r="U81" s="52">
        <f t="shared" si="14"/>
        <v>3</v>
      </c>
      <c r="V81" s="52">
        <f t="shared" si="15"/>
        <v>35.6</v>
      </c>
      <c r="W81" s="52">
        <f t="shared" si="16"/>
        <v>64.2</v>
      </c>
      <c r="X81" s="52">
        <f t="shared" si="17"/>
        <v>7.9</v>
      </c>
      <c r="Y81" s="20"/>
      <c r="Z81" s="20"/>
    </row>
    <row r="82" spans="1:26" x14ac:dyDescent="0.2">
      <c r="A82" s="20"/>
      <c r="B82" s="20"/>
      <c r="C82" s="20"/>
      <c r="D82" s="20"/>
      <c r="E82" s="20"/>
      <c r="F82" s="47" t="s">
        <v>264</v>
      </c>
      <c r="G82" s="47"/>
      <c r="H82" s="48">
        <v>35.6</v>
      </c>
      <c r="I82" s="48">
        <v>64.2</v>
      </c>
      <c r="J82" s="48">
        <v>7.9</v>
      </c>
      <c r="K82" s="20"/>
      <c r="L82" s="48">
        <v>3</v>
      </c>
      <c r="M82" s="20"/>
      <c r="N82" s="48">
        <v>40.1</v>
      </c>
      <c r="O82" s="48">
        <v>63</v>
      </c>
      <c r="P82" s="48">
        <v>8.6</v>
      </c>
      <c r="Q82" s="49">
        <f t="shared" si="11"/>
        <v>39.462600000000002</v>
      </c>
      <c r="R82" s="50">
        <f t="shared" si="12"/>
        <v>63.790000000000006</v>
      </c>
      <c r="S82" s="51">
        <f t="shared" si="13"/>
        <v>8.1858599999999999</v>
      </c>
      <c r="T82" s="20"/>
      <c r="U82" s="52">
        <f t="shared" si="14"/>
        <v>3</v>
      </c>
      <c r="V82" s="52">
        <f t="shared" si="15"/>
        <v>35.6</v>
      </c>
      <c r="W82" s="52">
        <f t="shared" si="16"/>
        <v>64.2</v>
      </c>
      <c r="X82" s="52">
        <f t="shared" si="17"/>
        <v>7.9</v>
      </c>
      <c r="Y82" s="20"/>
      <c r="Z82" s="20"/>
    </row>
    <row r="83" spans="1:26" x14ac:dyDescent="0.2">
      <c r="A83" s="20"/>
      <c r="B83" s="20"/>
      <c r="C83" s="20"/>
      <c r="D83" s="20"/>
      <c r="E83" s="20"/>
      <c r="F83" s="47" t="s">
        <v>265</v>
      </c>
      <c r="G83" s="47"/>
      <c r="H83" s="48">
        <v>35.6</v>
      </c>
      <c r="I83" s="48">
        <v>64.2</v>
      </c>
      <c r="J83" s="48">
        <v>7.9</v>
      </c>
      <c r="K83" s="20"/>
      <c r="L83" s="48">
        <v>3</v>
      </c>
      <c r="M83" s="20"/>
      <c r="N83" s="48">
        <v>40.1</v>
      </c>
      <c r="O83" s="48">
        <v>63</v>
      </c>
      <c r="P83" s="48">
        <v>8.6</v>
      </c>
      <c r="Q83" s="49">
        <f t="shared" si="11"/>
        <v>39.462600000000002</v>
      </c>
      <c r="R83" s="50">
        <f t="shared" si="12"/>
        <v>63.790000000000006</v>
      </c>
      <c r="S83" s="51">
        <f t="shared" si="13"/>
        <v>8.1858599999999999</v>
      </c>
      <c r="T83" s="20"/>
      <c r="U83" s="52">
        <f t="shared" si="14"/>
        <v>3</v>
      </c>
      <c r="V83" s="52">
        <f t="shared" si="15"/>
        <v>35.6</v>
      </c>
      <c r="W83" s="52">
        <f t="shared" si="16"/>
        <v>64.2</v>
      </c>
      <c r="X83" s="52">
        <f t="shared" si="17"/>
        <v>7.9</v>
      </c>
      <c r="Y83" s="20"/>
      <c r="Z83" s="20"/>
    </row>
    <row r="84" spans="1:26" x14ac:dyDescent="0.2">
      <c r="A84" s="20"/>
      <c r="B84" s="20"/>
      <c r="C84" s="20"/>
      <c r="D84" s="20"/>
      <c r="E84" s="20"/>
      <c r="F84" s="47" t="s">
        <v>266</v>
      </c>
      <c r="G84" s="47"/>
      <c r="H84" s="48">
        <v>35.6</v>
      </c>
      <c r="I84" s="48">
        <v>64.2</v>
      </c>
      <c r="J84" s="48">
        <v>7.9</v>
      </c>
      <c r="K84" s="20"/>
      <c r="L84" s="48">
        <v>3</v>
      </c>
      <c r="M84" s="20"/>
      <c r="N84" s="48">
        <v>40.1</v>
      </c>
      <c r="O84" s="48">
        <v>63</v>
      </c>
      <c r="P84" s="48">
        <v>8.6</v>
      </c>
      <c r="Q84" s="49">
        <f t="shared" si="11"/>
        <v>39.462600000000002</v>
      </c>
      <c r="R84" s="50">
        <f t="shared" si="12"/>
        <v>63.790000000000006</v>
      </c>
      <c r="S84" s="51">
        <f t="shared" si="13"/>
        <v>8.1858599999999999</v>
      </c>
      <c r="T84" s="20"/>
      <c r="U84" s="52">
        <f t="shared" si="14"/>
        <v>3</v>
      </c>
      <c r="V84" s="52">
        <f t="shared" si="15"/>
        <v>35.6</v>
      </c>
      <c r="W84" s="52">
        <f t="shared" si="16"/>
        <v>64.2</v>
      </c>
      <c r="X84" s="52">
        <f t="shared" si="17"/>
        <v>7.9</v>
      </c>
      <c r="Y84" s="20"/>
      <c r="Z84" s="20"/>
    </row>
    <row r="85" spans="1:26" x14ac:dyDescent="0.2">
      <c r="A85" s="20"/>
      <c r="B85" s="20"/>
      <c r="C85" s="20"/>
      <c r="D85" s="20"/>
      <c r="E85" s="20"/>
      <c r="F85" s="47" t="s">
        <v>267</v>
      </c>
      <c r="G85" s="47"/>
      <c r="H85" s="48">
        <v>35.6</v>
      </c>
      <c r="I85" s="48">
        <v>64.2</v>
      </c>
      <c r="J85" s="48">
        <v>7.9</v>
      </c>
      <c r="K85" s="20"/>
      <c r="L85" s="48">
        <v>3.8</v>
      </c>
      <c r="M85" s="20"/>
      <c r="N85" s="48">
        <v>40.1</v>
      </c>
      <c r="O85" s="48">
        <v>63</v>
      </c>
      <c r="P85" s="48">
        <v>8.6</v>
      </c>
      <c r="Q85" s="49">
        <f t="shared" si="11"/>
        <v>39.445800000000006</v>
      </c>
      <c r="R85" s="50">
        <f t="shared" si="12"/>
        <v>63.862000000000002</v>
      </c>
      <c r="S85" s="51">
        <f t="shared" si="13"/>
        <v>8.1563400000000001</v>
      </c>
      <c r="T85" s="20"/>
      <c r="U85" s="52">
        <f t="shared" si="14"/>
        <v>3.8</v>
      </c>
      <c r="V85" s="52">
        <f t="shared" si="15"/>
        <v>35.6</v>
      </c>
      <c r="W85" s="52">
        <f t="shared" si="16"/>
        <v>64.2</v>
      </c>
      <c r="X85" s="52">
        <f t="shared" si="17"/>
        <v>7.9</v>
      </c>
      <c r="Y85" s="20"/>
      <c r="Z85" s="20"/>
    </row>
    <row r="86" spans="1:26" x14ac:dyDescent="0.2">
      <c r="A86" s="20"/>
      <c r="B86" s="20"/>
      <c r="C86" s="20"/>
      <c r="D86" s="20"/>
      <c r="E86" s="20"/>
      <c r="F86" s="47" t="s">
        <v>268</v>
      </c>
      <c r="G86" s="47"/>
      <c r="H86" s="48">
        <v>35.6</v>
      </c>
      <c r="I86" s="48">
        <v>64.2</v>
      </c>
      <c r="J86" s="48">
        <v>7.9</v>
      </c>
      <c r="K86" s="20"/>
      <c r="L86" s="48">
        <v>3</v>
      </c>
      <c r="M86" s="20"/>
      <c r="N86" s="48">
        <v>40.1</v>
      </c>
      <c r="O86" s="48">
        <v>63</v>
      </c>
      <c r="P86" s="48">
        <v>8.6</v>
      </c>
      <c r="Q86" s="49">
        <f t="shared" si="11"/>
        <v>39.462600000000002</v>
      </c>
      <c r="R86" s="50">
        <f t="shared" si="12"/>
        <v>63.790000000000006</v>
      </c>
      <c r="S86" s="51">
        <f t="shared" si="13"/>
        <v>8.1858599999999999</v>
      </c>
      <c r="T86" s="20"/>
      <c r="U86" s="52">
        <f t="shared" si="14"/>
        <v>3</v>
      </c>
      <c r="V86" s="52">
        <f t="shared" si="15"/>
        <v>35.6</v>
      </c>
      <c r="W86" s="52">
        <f t="shared" si="16"/>
        <v>64.2</v>
      </c>
      <c r="X86" s="52">
        <f t="shared" si="17"/>
        <v>7.9</v>
      </c>
      <c r="Y86" s="20"/>
      <c r="Z86" s="20"/>
    </row>
    <row r="87" spans="1:26" x14ac:dyDescent="0.2">
      <c r="A87" s="20"/>
      <c r="B87" s="20"/>
      <c r="C87" s="20"/>
      <c r="D87" s="20"/>
      <c r="E87" s="20"/>
      <c r="F87" s="47" t="s">
        <v>269</v>
      </c>
      <c r="G87" s="47"/>
      <c r="H87" s="48">
        <v>35.6</v>
      </c>
      <c r="I87" s="48">
        <v>64.2</v>
      </c>
      <c r="J87" s="48">
        <v>7.9</v>
      </c>
      <c r="K87" s="20"/>
      <c r="L87" s="48">
        <v>3</v>
      </c>
      <c r="M87" s="20"/>
      <c r="N87" s="48">
        <v>40.1</v>
      </c>
      <c r="O87" s="48">
        <v>63</v>
      </c>
      <c r="P87" s="48">
        <v>8.6</v>
      </c>
      <c r="Q87" s="49">
        <f t="shared" si="11"/>
        <v>39.462600000000002</v>
      </c>
      <c r="R87" s="50">
        <f t="shared" si="12"/>
        <v>63.790000000000006</v>
      </c>
      <c r="S87" s="51">
        <f t="shared" si="13"/>
        <v>8.1858599999999999</v>
      </c>
      <c r="T87" s="20"/>
      <c r="U87" s="52">
        <f t="shared" si="14"/>
        <v>3</v>
      </c>
      <c r="V87" s="52">
        <f t="shared" si="15"/>
        <v>35.6</v>
      </c>
      <c r="W87" s="52">
        <f t="shared" si="16"/>
        <v>64.2</v>
      </c>
      <c r="X87" s="52">
        <f t="shared" si="17"/>
        <v>7.9</v>
      </c>
      <c r="Y87" s="20"/>
      <c r="Z87" s="20"/>
    </row>
    <row r="88" spans="1:26" x14ac:dyDescent="0.2">
      <c r="A88" s="20"/>
      <c r="B88" s="20"/>
      <c r="C88" s="20"/>
      <c r="D88" s="20"/>
      <c r="E88" s="20"/>
      <c r="F88" s="47" t="s">
        <v>270</v>
      </c>
      <c r="G88" s="47"/>
      <c r="H88" s="48">
        <v>35.6</v>
      </c>
      <c r="I88" s="48">
        <v>64.2</v>
      </c>
      <c r="J88" s="48">
        <v>7.9</v>
      </c>
      <c r="K88" s="20"/>
      <c r="L88" s="48">
        <v>3</v>
      </c>
      <c r="M88" s="20"/>
      <c r="N88" s="48">
        <v>40.1</v>
      </c>
      <c r="O88" s="48">
        <v>63</v>
      </c>
      <c r="P88" s="48">
        <v>8.6</v>
      </c>
      <c r="Q88" s="49">
        <f t="shared" si="11"/>
        <v>39.462600000000002</v>
      </c>
      <c r="R88" s="50">
        <f t="shared" si="12"/>
        <v>63.790000000000006</v>
      </c>
      <c r="S88" s="51">
        <f t="shared" si="13"/>
        <v>8.1858599999999999</v>
      </c>
      <c r="T88" s="20"/>
      <c r="U88" s="52">
        <f t="shared" si="14"/>
        <v>3</v>
      </c>
      <c r="V88" s="52">
        <f t="shared" si="15"/>
        <v>35.6</v>
      </c>
      <c r="W88" s="52">
        <f t="shared" si="16"/>
        <v>64.2</v>
      </c>
      <c r="X88" s="52">
        <f t="shared" si="17"/>
        <v>7.9</v>
      </c>
      <c r="Y88" s="20"/>
      <c r="Z88" s="20"/>
    </row>
    <row r="89" spans="1:26" x14ac:dyDescent="0.2">
      <c r="A89" s="20"/>
      <c r="B89" s="20"/>
      <c r="C89" s="20"/>
      <c r="D89" s="20"/>
      <c r="E89" s="20"/>
      <c r="F89" s="47" t="s">
        <v>271</v>
      </c>
      <c r="G89" s="47"/>
      <c r="H89" s="48">
        <v>35.6</v>
      </c>
      <c r="I89" s="48">
        <v>64.2</v>
      </c>
      <c r="J89" s="48">
        <v>7.9</v>
      </c>
      <c r="K89" s="20"/>
      <c r="L89" s="48">
        <v>3</v>
      </c>
      <c r="M89" s="20"/>
      <c r="N89" s="48">
        <v>40.1</v>
      </c>
      <c r="O89" s="48">
        <v>63</v>
      </c>
      <c r="P89" s="48">
        <v>8.6</v>
      </c>
      <c r="Q89" s="49">
        <f t="shared" si="11"/>
        <v>39.462600000000002</v>
      </c>
      <c r="R89" s="50">
        <f t="shared" si="12"/>
        <v>63.790000000000006</v>
      </c>
      <c r="S89" s="51">
        <f t="shared" si="13"/>
        <v>8.1858599999999999</v>
      </c>
      <c r="T89" s="20"/>
      <c r="U89" s="52">
        <f t="shared" si="14"/>
        <v>3</v>
      </c>
      <c r="V89" s="52">
        <f t="shared" si="15"/>
        <v>35.6</v>
      </c>
      <c r="W89" s="52">
        <f t="shared" si="16"/>
        <v>64.2</v>
      </c>
      <c r="X89" s="52">
        <f t="shared" si="17"/>
        <v>7.9</v>
      </c>
      <c r="Y89" s="20"/>
      <c r="Z89" s="20"/>
    </row>
    <row r="90" spans="1:26" x14ac:dyDescent="0.2">
      <c r="A90" s="20"/>
      <c r="B90" s="20"/>
      <c r="C90" s="20"/>
      <c r="D90" s="20"/>
      <c r="E90" s="20"/>
      <c r="F90" s="47" t="s">
        <v>272</v>
      </c>
      <c r="G90" s="47"/>
      <c r="H90" s="48">
        <v>35.6</v>
      </c>
      <c r="I90" s="48">
        <v>64.2</v>
      </c>
      <c r="J90" s="48">
        <v>7.9</v>
      </c>
      <c r="K90" s="20"/>
      <c r="L90" s="48">
        <v>3</v>
      </c>
      <c r="M90" s="20"/>
      <c r="N90" s="48">
        <v>40.1</v>
      </c>
      <c r="O90" s="48">
        <v>63</v>
      </c>
      <c r="P90" s="48">
        <v>8.6</v>
      </c>
      <c r="Q90" s="49">
        <f t="shared" si="11"/>
        <v>39.462600000000002</v>
      </c>
      <c r="R90" s="50">
        <f t="shared" si="12"/>
        <v>63.790000000000006</v>
      </c>
      <c r="S90" s="51">
        <f t="shared" si="13"/>
        <v>8.1858599999999999</v>
      </c>
      <c r="T90" s="20"/>
      <c r="U90" s="52">
        <f t="shared" si="14"/>
        <v>3</v>
      </c>
      <c r="V90" s="52">
        <f t="shared" si="15"/>
        <v>35.6</v>
      </c>
      <c r="W90" s="52">
        <f t="shared" si="16"/>
        <v>64.2</v>
      </c>
      <c r="X90" s="52">
        <f t="shared" si="17"/>
        <v>7.9</v>
      </c>
      <c r="Y90" s="20"/>
      <c r="Z90" s="20"/>
    </row>
    <row r="91" spans="1:26" x14ac:dyDescent="0.2">
      <c r="A91" s="20"/>
      <c r="B91" s="20"/>
      <c r="C91" s="20"/>
      <c r="D91" s="20"/>
      <c r="E91" s="20"/>
      <c r="F91" s="47" t="s">
        <v>273</v>
      </c>
      <c r="G91" s="47"/>
      <c r="H91" s="48">
        <v>35.6</v>
      </c>
      <c r="I91" s="48">
        <v>64.2</v>
      </c>
      <c r="J91" s="48">
        <v>7.9</v>
      </c>
      <c r="K91" s="20"/>
      <c r="L91" s="48">
        <v>3</v>
      </c>
      <c r="M91" s="20"/>
      <c r="N91" s="48">
        <v>40.1</v>
      </c>
      <c r="O91" s="48">
        <v>63</v>
      </c>
      <c r="P91" s="48">
        <v>8.6</v>
      </c>
      <c r="Q91" s="49">
        <f t="shared" si="11"/>
        <v>39.462600000000002</v>
      </c>
      <c r="R91" s="50">
        <f t="shared" si="12"/>
        <v>63.790000000000006</v>
      </c>
      <c r="S91" s="51">
        <f t="shared" si="13"/>
        <v>8.1858599999999999</v>
      </c>
      <c r="T91" s="20"/>
      <c r="U91" s="52">
        <f t="shared" si="14"/>
        <v>3</v>
      </c>
      <c r="V91" s="52">
        <f t="shared" si="15"/>
        <v>35.6</v>
      </c>
      <c r="W91" s="52">
        <f t="shared" si="16"/>
        <v>64.2</v>
      </c>
      <c r="X91" s="52">
        <f t="shared" si="17"/>
        <v>7.9</v>
      </c>
      <c r="Y91" s="20"/>
      <c r="Z91" s="20"/>
    </row>
    <row r="92" spans="1:26" x14ac:dyDescent="0.2">
      <c r="A92" s="20"/>
      <c r="B92" s="20"/>
      <c r="C92" s="20"/>
      <c r="D92" s="20"/>
      <c r="E92" s="20"/>
      <c r="F92" s="47" t="s">
        <v>274</v>
      </c>
      <c r="G92" s="47"/>
      <c r="H92" s="48">
        <v>35.6</v>
      </c>
      <c r="I92" s="48">
        <v>64.2</v>
      </c>
      <c r="J92" s="48">
        <v>7.9</v>
      </c>
      <c r="K92" s="20"/>
      <c r="L92" s="48">
        <v>3</v>
      </c>
      <c r="M92" s="20"/>
      <c r="N92" s="48">
        <v>40.1</v>
      </c>
      <c r="O92" s="48">
        <v>63</v>
      </c>
      <c r="P92" s="48">
        <v>8.6</v>
      </c>
      <c r="Q92" s="49">
        <f t="shared" si="11"/>
        <v>39.462600000000002</v>
      </c>
      <c r="R92" s="50">
        <f t="shared" si="12"/>
        <v>63.790000000000006</v>
      </c>
      <c r="S92" s="51">
        <f t="shared" si="13"/>
        <v>8.1858599999999999</v>
      </c>
      <c r="T92" s="20"/>
      <c r="U92" s="52">
        <f t="shared" si="14"/>
        <v>3</v>
      </c>
      <c r="V92" s="52">
        <f t="shared" si="15"/>
        <v>35.6</v>
      </c>
      <c r="W92" s="52">
        <f t="shared" si="16"/>
        <v>64.2</v>
      </c>
      <c r="X92" s="52">
        <f t="shared" si="17"/>
        <v>7.9</v>
      </c>
      <c r="Y92" s="20"/>
      <c r="Z92" s="20"/>
    </row>
    <row r="93" spans="1:26" x14ac:dyDescent="0.2">
      <c r="A93" s="20"/>
      <c r="B93" s="20"/>
      <c r="C93" s="20"/>
      <c r="D93" s="20"/>
      <c r="E93" s="20"/>
      <c r="F93" s="47" t="s">
        <v>275</v>
      </c>
      <c r="G93" s="47"/>
      <c r="H93" s="48">
        <v>35.6</v>
      </c>
      <c r="I93" s="48">
        <v>64.2</v>
      </c>
      <c r="J93" s="48">
        <v>7.9</v>
      </c>
      <c r="K93" s="20"/>
      <c r="L93" s="48">
        <v>3</v>
      </c>
      <c r="M93" s="20"/>
      <c r="N93" s="48">
        <v>40.1</v>
      </c>
      <c r="O93" s="48">
        <v>63</v>
      </c>
      <c r="P93" s="48">
        <v>8.6</v>
      </c>
      <c r="Q93" s="49">
        <f t="shared" si="11"/>
        <v>39.462600000000002</v>
      </c>
      <c r="R93" s="50">
        <f t="shared" si="12"/>
        <v>63.790000000000006</v>
      </c>
      <c r="S93" s="51">
        <f t="shared" si="13"/>
        <v>8.1858599999999999</v>
      </c>
      <c r="T93" s="20"/>
      <c r="U93" s="52">
        <f t="shared" si="14"/>
        <v>3</v>
      </c>
      <c r="V93" s="52">
        <f t="shared" si="15"/>
        <v>35.6</v>
      </c>
      <c r="W93" s="52">
        <f t="shared" si="16"/>
        <v>64.2</v>
      </c>
      <c r="X93" s="52">
        <f t="shared" si="17"/>
        <v>7.9</v>
      </c>
      <c r="Y93" s="20"/>
      <c r="Z93" s="20"/>
    </row>
    <row r="94" spans="1:26" x14ac:dyDescent="0.2">
      <c r="A94" s="20"/>
      <c r="B94" s="20"/>
      <c r="C94" s="20"/>
      <c r="D94" s="20"/>
      <c r="E94" s="20"/>
      <c r="F94" s="47" t="s">
        <v>276</v>
      </c>
      <c r="G94" s="47"/>
      <c r="H94" s="48">
        <v>35.6</v>
      </c>
      <c r="I94" s="48">
        <v>64.2</v>
      </c>
      <c r="J94" s="48">
        <v>7.9</v>
      </c>
      <c r="K94" s="20"/>
      <c r="L94" s="48">
        <v>3</v>
      </c>
      <c r="M94" s="20"/>
      <c r="N94" s="48">
        <v>40.1</v>
      </c>
      <c r="O94" s="48">
        <v>63</v>
      </c>
      <c r="P94" s="48">
        <v>8.6</v>
      </c>
      <c r="Q94" s="49">
        <f t="shared" si="11"/>
        <v>39.462600000000002</v>
      </c>
      <c r="R94" s="50">
        <f t="shared" si="12"/>
        <v>63.790000000000006</v>
      </c>
      <c r="S94" s="51">
        <f t="shared" si="13"/>
        <v>8.1858599999999999</v>
      </c>
      <c r="T94" s="20"/>
      <c r="U94" s="52">
        <f t="shared" si="14"/>
        <v>3</v>
      </c>
      <c r="V94" s="52">
        <f t="shared" si="15"/>
        <v>35.6</v>
      </c>
      <c r="W94" s="52">
        <f t="shared" si="16"/>
        <v>64.2</v>
      </c>
      <c r="X94" s="52">
        <f t="shared" si="17"/>
        <v>7.9</v>
      </c>
      <c r="Y94" s="20"/>
      <c r="Z94" s="20"/>
    </row>
    <row r="95" spans="1:26" x14ac:dyDescent="0.2">
      <c r="A95" s="20"/>
      <c r="B95" s="20"/>
      <c r="C95" s="20"/>
      <c r="D95" s="20"/>
      <c r="E95" s="20"/>
      <c r="F95" s="47" t="s">
        <v>277</v>
      </c>
      <c r="G95" s="47"/>
      <c r="H95" s="48">
        <v>35.6</v>
      </c>
      <c r="I95" s="48">
        <v>64.2</v>
      </c>
      <c r="J95" s="48">
        <v>7.9</v>
      </c>
      <c r="K95" s="20"/>
      <c r="L95" s="48">
        <v>3</v>
      </c>
      <c r="M95" s="20"/>
      <c r="N95" s="48">
        <v>40.1</v>
      </c>
      <c r="O95" s="48">
        <v>63</v>
      </c>
      <c r="P95" s="48">
        <v>8.6</v>
      </c>
      <c r="Q95" s="49">
        <f t="shared" si="11"/>
        <v>39.462600000000002</v>
      </c>
      <c r="R95" s="50">
        <f t="shared" si="12"/>
        <v>63.790000000000006</v>
      </c>
      <c r="S95" s="51">
        <f t="shared" si="13"/>
        <v>8.1858599999999999</v>
      </c>
      <c r="T95" s="20"/>
      <c r="U95" s="52">
        <f t="shared" si="14"/>
        <v>3</v>
      </c>
      <c r="V95" s="52">
        <f t="shared" si="15"/>
        <v>35.6</v>
      </c>
      <c r="W95" s="52">
        <f t="shared" si="16"/>
        <v>64.2</v>
      </c>
      <c r="X95" s="52">
        <f t="shared" si="17"/>
        <v>7.9</v>
      </c>
      <c r="Y95" s="20"/>
      <c r="Z95" s="20"/>
    </row>
    <row r="96" spans="1:26" x14ac:dyDescent="0.2">
      <c r="A96" s="20"/>
      <c r="B96" s="20"/>
      <c r="C96" s="20"/>
      <c r="D96" s="20"/>
      <c r="E96" s="20"/>
      <c r="F96" s="47" t="s">
        <v>278</v>
      </c>
      <c r="G96" s="47"/>
      <c r="H96" s="48">
        <v>35.6</v>
      </c>
      <c r="I96" s="48">
        <v>64.2</v>
      </c>
      <c r="J96" s="48">
        <v>7.9</v>
      </c>
      <c r="K96" s="20"/>
      <c r="L96" s="48">
        <v>3</v>
      </c>
      <c r="M96" s="20"/>
      <c r="N96" s="48">
        <v>40.1</v>
      </c>
      <c r="O96" s="48">
        <v>63</v>
      </c>
      <c r="P96" s="48">
        <v>8.6</v>
      </c>
      <c r="Q96" s="49">
        <f t="shared" si="11"/>
        <v>39.462600000000002</v>
      </c>
      <c r="R96" s="50">
        <f t="shared" si="12"/>
        <v>63.790000000000006</v>
      </c>
      <c r="S96" s="51">
        <f t="shared" si="13"/>
        <v>8.1858599999999999</v>
      </c>
      <c r="T96" s="20"/>
      <c r="U96" s="52">
        <f t="shared" si="14"/>
        <v>3</v>
      </c>
      <c r="V96" s="52">
        <f t="shared" si="15"/>
        <v>35.6</v>
      </c>
      <c r="W96" s="52">
        <f t="shared" si="16"/>
        <v>64.2</v>
      </c>
      <c r="X96" s="52">
        <f t="shared" si="17"/>
        <v>7.9</v>
      </c>
      <c r="Y96" s="20"/>
      <c r="Z96" s="20"/>
    </row>
    <row r="97" spans="1:26" x14ac:dyDescent="0.2">
      <c r="A97" s="20"/>
      <c r="B97" s="20"/>
      <c r="C97" s="20"/>
      <c r="D97" s="20"/>
      <c r="E97" s="20"/>
      <c r="F97" s="47" t="s">
        <v>279</v>
      </c>
      <c r="G97" s="47"/>
      <c r="H97" s="48">
        <v>35.6</v>
      </c>
      <c r="I97" s="48">
        <v>64.2</v>
      </c>
      <c r="J97" s="48">
        <v>7.9</v>
      </c>
      <c r="K97" s="20"/>
      <c r="L97" s="48">
        <v>3</v>
      </c>
      <c r="M97" s="20"/>
      <c r="N97" s="48">
        <v>40.1</v>
      </c>
      <c r="O97" s="48">
        <v>63</v>
      </c>
      <c r="P97" s="48">
        <v>8.6</v>
      </c>
      <c r="Q97" s="49">
        <f t="shared" si="11"/>
        <v>39.462600000000002</v>
      </c>
      <c r="R97" s="50">
        <f t="shared" si="12"/>
        <v>63.790000000000006</v>
      </c>
      <c r="S97" s="51">
        <f t="shared" si="13"/>
        <v>8.1858599999999999</v>
      </c>
      <c r="T97" s="20"/>
      <c r="U97" s="52">
        <f t="shared" si="14"/>
        <v>3</v>
      </c>
      <c r="V97" s="52">
        <f t="shared" si="15"/>
        <v>35.6</v>
      </c>
      <c r="W97" s="52">
        <f t="shared" si="16"/>
        <v>64.2</v>
      </c>
      <c r="X97" s="52">
        <f t="shared" si="17"/>
        <v>7.9</v>
      </c>
      <c r="Y97" s="20"/>
      <c r="Z97" s="20"/>
    </row>
    <row r="98" spans="1:26" x14ac:dyDescent="0.2">
      <c r="A98" s="20"/>
      <c r="B98" s="20"/>
      <c r="C98" s="20"/>
      <c r="D98" s="20"/>
      <c r="E98" s="20"/>
      <c r="F98" s="47" t="s">
        <v>280</v>
      </c>
      <c r="G98" s="47"/>
      <c r="H98" s="48">
        <v>35.6</v>
      </c>
      <c r="I98" s="48">
        <v>64.2</v>
      </c>
      <c r="J98" s="48">
        <v>7.9</v>
      </c>
      <c r="K98" s="20"/>
      <c r="L98" s="48">
        <v>3</v>
      </c>
      <c r="M98" s="20"/>
      <c r="N98" s="48">
        <v>40.1</v>
      </c>
      <c r="O98" s="48">
        <v>63</v>
      </c>
      <c r="P98" s="48">
        <v>8.6</v>
      </c>
      <c r="Q98" s="49">
        <f t="shared" si="11"/>
        <v>39.462600000000002</v>
      </c>
      <c r="R98" s="50">
        <f t="shared" si="12"/>
        <v>63.790000000000006</v>
      </c>
      <c r="S98" s="51">
        <f t="shared" si="13"/>
        <v>8.1858599999999999</v>
      </c>
      <c r="T98" s="20"/>
      <c r="U98" s="52">
        <f t="shared" si="14"/>
        <v>3</v>
      </c>
      <c r="V98" s="52">
        <f t="shared" si="15"/>
        <v>35.6</v>
      </c>
      <c r="W98" s="52">
        <f t="shared" si="16"/>
        <v>64.2</v>
      </c>
      <c r="X98" s="52">
        <f t="shared" si="17"/>
        <v>7.9</v>
      </c>
      <c r="Y98" s="20"/>
      <c r="Z98" s="20"/>
    </row>
    <row r="99" spans="1:26" x14ac:dyDescent="0.2">
      <c r="A99" s="20"/>
      <c r="B99" s="20"/>
      <c r="C99" s="20"/>
      <c r="D99" s="20"/>
      <c r="E99" s="20"/>
      <c r="F99" s="47" t="s">
        <v>281</v>
      </c>
      <c r="G99" s="47"/>
      <c r="H99" s="48">
        <v>35.6</v>
      </c>
      <c r="I99" s="48">
        <v>64.2</v>
      </c>
      <c r="J99" s="48">
        <v>7.9</v>
      </c>
      <c r="K99" s="20"/>
      <c r="L99" s="48">
        <v>3.8</v>
      </c>
      <c r="M99" s="20"/>
      <c r="N99" s="48">
        <v>37.700000000000003</v>
      </c>
      <c r="O99" s="48">
        <v>59.8</v>
      </c>
      <c r="P99" s="48">
        <v>9</v>
      </c>
      <c r="Q99" s="49">
        <f t="shared" si="11"/>
        <v>37.079400000000007</v>
      </c>
      <c r="R99" s="50">
        <f t="shared" si="12"/>
        <v>60.566000000000003</v>
      </c>
      <c r="S99" s="51">
        <f t="shared" si="13"/>
        <v>8.5561800000000012</v>
      </c>
      <c r="T99" s="20"/>
      <c r="U99" s="52">
        <f t="shared" si="14"/>
        <v>3.8</v>
      </c>
      <c r="V99" s="52">
        <f t="shared" si="15"/>
        <v>35.6</v>
      </c>
      <c r="W99" s="52">
        <f t="shared" si="16"/>
        <v>64.2</v>
      </c>
      <c r="X99" s="52">
        <f t="shared" si="17"/>
        <v>7.9</v>
      </c>
      <c r="Y99" s="20"/>
      <c r="Z99" s="20"/>
    </row>
    <row r="100" spans="1:26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</sheetData>
  <sheetProtection algorithmName="SHA-512" hashValue="IRswYQTTm9vpngqjFeqVOR+RGqxTgLaoQs7sRXaIXa9hDfX6KCW1X8g8FSDbRggYv0X1SoQtWaZEOUCX0pQzlg==" saltValue="IKa5v3Zs4yjZdl7Sr77jag==" spinCount="100000" sheet="1" objects="1" scenarios="1"/>
  <mergeCells count="14">
    <mergeCell ref="U9:X9"/>
    <mergeCell ref="N8:P8"/>
    <mergeCell ref="A2:B2"/>
    <mergeCell ref="A3:B3"/>
    <mergeCell ref="A4:B7"/>
    <mergeCell ref="E2:T3"/>
    <mergeCell ref="U5:X5"/>
    <mergeCell ref="U6:X6"/>
    <mergeCell ref="U7:X7"/>
    <mergeCell ref="A15:B15"/>
    <mergeCell ref="A16:B16"/>
    <mergeCell ref="A10:B10"/>
    <mergeCell ref="H8:J8"/>
    <mergeCell ref="Q8:S8"/>
  </mergeCells>
  <pageMargins left="0.7" right="0.7" top="0.75" bottom="0.75" header="0.3" footer="0.3"/>
  <ignoredErrors>
    <ignoredError sqref="W11:W4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7A8D3-EEA4-4B91-83ED-33E46FC69D27}">
  <dimension ref="A1:BH129"/>
  <sheetViews>
    <sheetView zoomScaleNormal="100" workbookViewId="0">
      <selection activeCell="H38" sqref="H38"/>
    </sheetView>
  </sheetViews>
  <sheetFormatPr defaultColWidth="8.85546875" defaultRowHeight="14.25" x14ac:dyDescent="0.2"/>
  <cols>
    <col min="1" max="1" width="18.28515625" style="21" customWidth="1"/>
    <col min="2" max="2" width="9.85546875" style="21" customWidth="1"/>
    <col min="3" max="3" width="10.5703125" style="21" customWidth="1"/>
    <col min="4" max="5" width="8.85546875" style="46"/>
    <col min="6" max="6" width="9.140625" style="46" customWidth="1"/>
    <col min="7" max="7" width="10.7109375" style="46" customWidth="1"/>
    <col min="8" max="8" width="9.28515625" style="46" customWidth="1"/>
    <col min="9" max="9" width="9.85546875" style="46" customWidth="1"/>
    <col min="10" max="10" width="9.7109375" style="46" customWidth="1"/>
    <col min="11" max="11" width="9.28515625" style="46" customWidth="1"/>
    <col min="12" max="12" width="9.42578125" style="46" hidden="1" customWidth="1"/>
    <col min="13" max="13" width="6" style="46" hidden="1" customWidth="1"/>
    <col min="14" max="15" width="12" style="46" hidden="1" customWidth="1"/>
    <col min="16" max="16" width="7.42578125" style="46" hidden="1" customWidth="1"/>
    <col min="17" max="17" width="8" style="46" hidden="1" customWidth="1"/>
    <col min="18" max="18" width="7.28515625" style="46" hidden="1" customWidth="1"/>
    <col min="19" max="19" width="8.28515625" style="46" hidden="1" customWidth="1"/>
    <col min="20" max="20" width="6" style="46" hidden="1" customWidth="1"/>
    <col min="21" max="21" width="19" style="46" hidden="1" customWidth="1"/>
    <col min="22" max="22" width="5.28515625" style="46" hidden="1" customWidth="1"/>
    <col min="23" max="23" width="8.85546875" style="46" hidden="1" customWidth="1"/>
    <col min="24" max="24" width="10.28515625" style="46" hidden="1" customWidth="1"/>
    <col min="25" max="25" width="11.140625" style="46" hidden="1" customWidth="1"/>
    <col min="26" max="26" width="7.42578125" style="46" hidden="1" customWidth="1"/>
    <col min="27" max="27" width="16.85546875" style="46" hidden="1" customWidth="1"/>
    <col min="28" max="28" width="11" style="46" hidden="1" customWidth="1"/>
    <col min="29" max="29" width="8.5703125" style="46" hidden="1" customWidth="1"/>
    <col min="30" max="30" width="9.140625" style="46" hidden="1" customWidth="1"/>
    <col min="31" max="31" width="10.85546875" style="46" hidden="1" customWidth="1"/>
    <col min="32" max="32" width="10.140625" style="46" hidden="1" customWidth="1"/>
    <col min="33" max="33" width="10.7109375" style="46" hidden="1" customWidth="1"/>
    <col min="34" max="34" width="5.85546875" style="46" hidden="1" customWidth="1"/>
    <col min="35" max="35" width="13.7109375" style="46" hidden="1" customWidth="1"/>
    <col min="36" max="36" width="7.140625" style="46" hidden="1" customWidth="1"/>
    <col min="37" max="37" width="6" style="46" hidden="1" customWidth="1"/>
    <col min="38" max="39" width="10.85546875" style="46" hidden="1" customWidth="1"/>
    <col min="40" max="40" width="15.85546875" style="46" hidden="1" customWidth="1"/>
    <col min="41" max="41" width="15" style="46" hidden="1" customWidth="1"/>
    <col min="42" max="42" width="14" style="46" hidden="1" customWidth="1"/>
    <col min="43" max="43" width="10.7109375" style="46" customWidth="1"/>
    <col min="44" max="44" width="12.140625" style="46" hidden="1" customWidth="1"/>
    <col min="45" max="45" width="8.28515625" style="46" hidden="1" customWidth="1"/>
    <col min="46" max="46" width="8.7109375" style="46" hidden="1" customWidth="1"/>
    <col min="47" max="47" width="10.7109375" style="46" hidden="1" customWidth="1"/>
    <col min="48" max="48" width="7.42578125" style="46" hidden="1" customWidth="1"/>
    <col min="49" max="49" width="11.42578125" style="46" bestFit="1" customWidth="1"/>
    <col min="50" max="50" width="10.7109375" style="46" customWidth="1"/>
    <col min="51" max="51" width="10.28515625" style="46" customWidth="1"/>
    <col min="52" max="52" width="10.5703125" style="3" bestFit="1" customWidth="1"/>
    <col min="53" max="53" width="11.42578125" style="3" customWidth="1"/>
    <col min="54" max="54" width="11.5703125" style="55" bestFit="1" customWidth="1"/>
    <col min="55" max="16384" width="8.85546875" style="3"/>
  </cols>
  <sheetData>
    <row r="1" spans="1:52" x14ac:dyDescent="0.2">
      <c r="A1" s="1"/>
      <c r="B1" s="1"/>
      <c r="C1" s="1"/>
      <c r="D1" s="54"/>
      <c r="E1" s="54"/>
      <c r="F1" s="54"/>
      <c r="G1" s="54"/>
      <c r="H1" s="54"/>
      <c r="I1" s="54"/>
      <c r="J1" s="54"/>
      <c r="K1" s="54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4"/>
      <c r="AR1" s="54"/>
      <c r="AS1" s="54"/>
      <c r="AT1" s="54"/>
      <c r="AU1" s="54"/>
      <c r="AV1" s="54"/>
      <c r="AW1" s="54"/>
      <c r="AX1" s="54"/>
      <c r="AY1" s="54"/>
      <c r="AZ1" s="1"/>
    </row>
    <row r="2" spans="1:52" ht="18" x14ac:dyDescent="0.25">
      <c r="A2" s="97" t="s">
        <v>116</v>
      </c>
      <c r="B2" s="98"/>
      <c r="C2" s="109" t="s">
        <v>117</v>
      </c>
      <c r="D2" s="102"/>
      <c r="E2" s="102"/>
      <c r="F2" s="102"/>
      <c r="G2" s="102"/>
      <c r="H2" s="102"/>
      <c r="I2" s="102"/>
      <c r="J2" s="102"/>
      <c r="K2" s="102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7"/>
      <c r="AR2" s="57"/>
      <c r="AS2" s="57"/>
      <c r="AT2" s="57"/>
      <c r="AU2" s="57"/>
      <c r="AV2" s="57"/>
      <c r="AW2" s="57"/>
      <c r="AX2" s="57"/>
      <c r="AY2" s="54"/>
      <c r="AZ2" s="1"/>
    </row>
    <row r="3" spans="1:52" ht="18" x14ac:dyDescent="0.25">
      <c r="A3" s="99">
        <v>2024</v>
      </c>
      <c r="B3" s="100"/>
      <c r="C3" s="109"/>
      <c r="D3" s="102"/>
      <c r="E3" s="102"/>
      <c r="F3" s="102"/>
      <c r="G3" s="102"/>
      <c r="H3" s="102"/>
      <c r="I3" s="102"/>
      <c r="J3" s="102"/>
      <c r="K3" s="102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7"/>
      <c r="AR3" s="57"/>
      <c r="AS3" s="57"/>
      <c r="AT3" s="57"/>
      <c r="AU3" s="57"/>
      <c r="AV3" s="57"/>
      <c r="AW3" s="57"/>
      <c r="AX3" s="57"/>
      <c r="AY3" s="54"/>
      <c r="AZ3" s="1"/>
    </row>
    <row r="4" spans="1:52" x14ac:dyDescent="0.2">
      <c r="A4" s="111"/>
      <c r="B4" s="111"/>
      <c r="C4" s="22" t="s">
        <v>148</v>
      </c>
      <c r="D4" s="23"/>
      <c r="E4" s="23"/>
      <c r="F4" s="23"/>
      <c r="G4" s="23"/>
      <c r="H4" s="23"/>
      <c r="I4" s="23"/>
      <c r="J4" s="23"/>
      <c r="K4" s="58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4"/>
      <c r="AR4" s="54"/>
      <c r="AS4" s="54"/>
      <c r="AT4" s="54"/>
      <c r="AU4" s="54"/>
      <c r="AV4" s="54"/>
      <c r="AW4" s="54"/>
      <c r="AX4" s="54"/>
      <c r="AY4" s="54"/>
      <c r="AZ4" s="1"/>
    </row>
    <row r="5" spans="1:52" x14ac:dyDescent="0.2">
      <c r="A5" s="101"/>
      <c r="B5" s="101"/>
      <c r="C5" s="22" t="s">
        <v>118</v>
      </c>
      <c r="D5" s="23"/>
      <c r="E5" s="23"/>
      <c r="F5" s="23"/>
      <c r="G5" s="23"/>
      <c r="H5" s="23"/>
      <c r="I5" s="23"/>
      <c r="J5" s="23"/>
      <c r="K5" s="59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107" t="s">
        <v>106</v>
      </c>
      <c r="AR5" s="107"/>
      <c r="AS5" s="107"/>
      <c r="AT5" s="107"/>
      <c r="AU5" s="107"/>
      <c r="AV5" s="107"/>
      <c r="AW5" s="107"/>
      <c r="AX5" s="107"/>
      <c r="AY5" s="54"/>
      <c r="AZ5" s="1"/>
    </row>
    <row r="6" spans="1:52" x14ac:dyDescent="0.2">
      <c r="A6" s="101"/>
      <c r="B6" s="101"/>
      <c r="C6" s="22" t="s">
        <v>295</v>
      </c>
      <c r="D6" s="23"/>
      <c r="E6" s="23"/>
      <c r="F6" s="23"/>
      <c r="G6" s="23"/>
      <c r="H6" s="23"/>
      <c r="I6" s="23"/>
      <c r="J6" s="23"/>
      <c r="K6" s="59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105" t="s">
        <v>104</v>
      </c>
      <c r="AR6" s="105"/>
      <c r="AS6" s="105"/>
      <c r="AT6" s="105"/>
      <c r="AU6" s="105"/>
      <c r="AV6" s="105"/>
      <c r="AW6" s="105"/>
      <c r="AX6" s="105"/>
      <c r="AY6" s="54"/>
      <c r="AZ6" s="1"/>
    </row>
    <row r="7" spans="1:52" x14ac:dyDescent="0.2">
      <c r="A7" s="101"/>
      <c r="B7" s="101"/>
      <c r="C7" s="22" t="s">
        <v>187</v>
      </c>
      <c r="D7" s="23"/>
      <c r="E7" s="23"/>
      <c r="F7" s="23"/>
      <c r="G7" s="23"/>
      <c r="H7" s="23"/>
      <c r="I7" s="23"/>
      <c r="J7" s="23"/>
      <c r="K7" s="60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106" t="s">
        <v>294</v>
      </c>
      <c r="AR7" s="106"/>
      <c r="AS7" s="106"/>
      <c r="AT7" s="106"/>
      <c r="AU7" s="106"/>
      <c r="AV7" s="106"/>
      <c r="AW7" s="106"/>
      <c r="AX7" s="106"/>
      <c r="AY7" s="54"/>
      <c r="AZ7" s="1"/>
    </row>
    <row r="8" spans="1:52" hidden="1" x14ac:dyDescent="0.2">
      <c r="A8" s="111" t="s">
        <v>50</v>
      </c>
      <c r="B8" s="11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12"/>
      <c r="W8" s="61"/>
      <c r="X8" s="61"/>
      <c r="Y8" s="61"/>
      <c r="Z8" s="113" t="s">
        <v>51</v>
      </c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55"/>
      <c r="AU8" s="55"/>
      <c r="AV8" s="55"/>
      <c r="AW8" s="55"/>
      <c r="AX8" s="55"/>
      <c r="AY8" s="54"/>
      <c r="AZ8" s="1"/>
    </row>
    <row r="9" spans="1:52" hidden="1" x14ac:dyDescent="0.2">
      <c r="A9" s="3"/>
      <c r="B9" s="3"/>
      <c r="C9" s="3"/>
      <c r="D9" s="114" t="s">
        <v>63</v>
      </c>
      <c r="E9" s="114"/>
      <c r="F9" s="114"/>
      <c r="G9" s="114"/>
      <c r="H9" s="114"/>
      <c r="I9" s="114"/>
      <c r="J9" s="114"/>
      <c r="K9" s="114"/>
      <c r="L9" s="114"/>
      <c r="M9" s="114"/>
      <c r="N9" s="55"/>
      <c r="O9" s="55"/>
      <c r="P9" s="55"/>
      <c r="Q9" s="55"/>
      <c r="R9" s="55"/>
      <c r="S9" s="114" t="s">
        <v>60</v>
      </c>
      <c r="T9" s="114"/>
      <c r="U9" s="114"/>
      <c r="V9" s="113"/>
      <c r="W9" s="55"/>
      <c r="X9" s="55"/>
      <c r="Y9" s="55"/>
      <c r="Z9" s="55"/>
      <c r="AA9" s="55" t="s">
        <v>53</v>
      </c>
      <c r="AB9" s="55"/>
      <c r="AC9" s="55" t="s">
        <v>84</v>
      </c>
      <c r="AD9" s="55"/>
      <c r="AE9" s="62"/>
      <c r="AF9" s="62"/>
      <c r="AG9" s="62"/>
      <c r="AH9" s="62"/>
      <c r="AI9" s="55" t="s">
        <v>37</v>
      </c>
      <c r="AJ9" s="62"/>
      <c r="AK9" s="62"/>
      <c r="AL9" s="55"/>
      <c r="AM9" s="55"/>
      <c r="AN9" s="55" t="s">
        <v>67</v>
      </c>
      <c r="AO9" s="55"/>
      <c r="AP9" s="55"/>
      <c r="AQ9" s="55"/>
      <c r="AR9" s="61" t="s">
        <v>57</v>
      </c>
      <c r="AS9" s="55"/>
      <c r="AT9" s="55"/>
      <c r="AU9" s="55" t="s">
        <v>59</v>
      </c>
      <c r="AV9" s="55"/>
      <c r="AW9" s="55"/>
      <c r="AX9" s="55"/>
      <c r="AY9" s="1"/>
      <c r="AZ9" s="1"/>
    </row>
    <row r="10" spans="1:52" hidden="1" x14ac:dyDescent="0.2">
      <c r="A10" s="3"/>
      <c r="B10" s="3"/>
      <c r="C10" s="3" t="s">
        <v>13</v>
      </c>
      <c r="D10" s="55" t="s">
        <v>0</v>
      </c>
      <c r="E10" s="55" t="s">
        <v>1</v>
      </c>
      <c r="F10" s="55" t="s">
        <v>2</v>
      </c>
      <c r="G10" s="55" t="s">
        <v>3</v>
      </c>
      <c r="H10" s="55" t="s">
        <v>90</v>
      </c>
      <c r="I10" s="55" t="s">
        <v>4</v>
      </c>
      <c r="J10" s="55" t="s">
        <v>5</v>
      </c>
      <c r="K10" s="55" t="s">
        <v>6</v>
      </c>
      <c r="L10" s="55" t="s">
        <v>9</v>
      </c>
      <c r="M10" s="55" t="s">
        <v>27</v>
      </c>
      <c r="N10" s="55"/>
      <c r="O10" s="55"/>
      <c r="P10" s="55"/>
      <c r="Q10" s="55"/>
      <c r="R10" s="55"/>
      <c r="S10" s="55" t="s">
        <v>87</v>
      </c>
      <c r="T10" s="55"/>
      <c r="U10" s="55" t="s">
        <v>7</v>
      </c>
      <c r="V10" s="63"/>
      <c r="W10" s="55"/>
      <c r="X10" s="55"/>
      <c r="Y10" s="55"/>
      <c r="Z10" s="55"/>
      <c r="AA10" s="55">
        <v>30</v>
      </c>
      <c r="AB10" s="55"/>
      <c r="AC10" s="55">
        <v>300</v>
      </c>
      <c r="AD10" s="55"/>
      <c r="AE10" s="55"/>
      <c r="AF10" s="55"/>
      <c r="AG10" s="55"/>
      <c r="AH10" s="55"/>
      <c r="AI10" s="55">
        <v>1.65</v>
      </c>
      <c r="AJ10" s="55"/>
      <c r="AK10" s="55"/>
      <c r="AL10" s="55"/>
      <c r="AM10" s="55"/>
      <c r="AN10" s="55" t="s">
        <v>69</v>
      </c>
      <c r="AO10" s="55"/>
      <c r="AP10" s="55"/>
      <c r="AQ10" s="55"/>
      <c r="AR10" s="55" t="s">
        <v>41</v>
      </c>
      <c r="AS10" s="55"/>
      <c r="AT10" s="55"/>
      <c r="AU10" s="55">
        <v>19</v>
      </c>
      <c r="AV10" s="55"/>
      <c r="AW10" s="55"/>
      <c r="AX10" s="55"/>
      <c r="AY10" s="1"/>
      <c r="AZ10" s="1"/>
    </row>
    <row r="11" spans="1:52" hidden="1" x14ac:dyDescent="0.2">
      <c r="A11" s="3"/>
      <c r="B11" s="3"/>
      <c r="C11" s="3" t="s">
        <v>14</v>
      </c>
      <c r="D11" s="55">
        <v>3</v>
      </c>
      <c r="E11" s="55">
        <v>91</v>
      </c>
      <c r="F11" s="55">
        <v>38.799999999999997</v>
      </c>
      <c r="G11" s="55">
        <v>46.2</v>
      </c>
      <c r="H11" s="55">
        <v>43.1</v>
      </c>
      <c r="I11" s="55">
        <v>3.6</v>
      </c>
      <c r="J11" s="55">
        <v>20.7</v>
      </c>
      <c r="K11" s="55">
        <v>10.9</v>
      </c>
      <c r="L11" s="64">
        <f>J11*0.73</f>
        <v>15.110999999999999</v>
      </c>
      <c r="M11" s="64">
        <f>(J11*0.27)*0.7</f>
        <v>3.9123000000000001</v>
      </c>
      <c r="N11" s="64"/>
      <c r="O11" s="64"/>
      <c r="P11" s="64"/>
      <c r="Q11" s="64"/>
      <c r="R11" s="64"/>
      <c r="S11" s="64">
        <f>100*((LN((100-H22)-G22)-4.6052)/-27)</f>
        <v>5.2408434197425455</v>
      </c>
      <c r="T11" s="55"/>
      <c r="U11" s="64">
        <f>100*((LN(100-E22)-4.6052)/-6)</f>
        <v>30.037227268365179</v>
      </c>
      <c r="V11" s="63"/>
      <c r="W11" s="55"/>
      <c r="X11" s="55"/>
      <c r="Y11" s="55"/>
      <c r="Z11" s="55"/>
      <c r="AA11" s="55"/>
      <c r="AB11" s="55"/>
      <c r="AC11" s="55"/>
      <c r="AD11" s="55"/>
      <c r="AE11" s="55"/>
      <c r="AF11" s="64"/>
      <c r="AG11" s="64"/>
      <c r="AH11" s="64"/>
      <c r="AI11" s="55"/>
      <c r="AJ11" s="64"/>
      <c r="AK11" s="64"/>
      <c r="AL11" s="55"/>
      <c r="AM11" s="55"/>
      <c r="AN11" s="55">
        <v>14.33</v>
      </c>
      <c r="AO11" s="55"/>
      <c r="AP11" s="55"/>
      <c r="AQ11" s="55"/>
      <c r="AR11" s="55">
        <v>0.04</v>
      </c>
      <c r="AS11" s="64"/>
      <c r="AT11" s="55"/>
      <c r="AU11" s="55"/>
      <c r="AV11" s="55"/>
      <c r="AW11" s="55"/>
      <c r="AX11" s="55"/>
      <c r="AY11" s="54"/>
      <c r="AZ11" s="1"/>
    </row>
    <row r="12" spans="1:52" hidden="1" x14ac:dyDescent="0.2">
      <c r="A12" s="3"/>
      <c r="B12" s="3"/>
      <c r="C12" s="3" t="s">
        <v>15</v>
      </c>
      <c r="D12" s="55">
        <v>71.3</v>
      </c>
      <c r="E12" s="55">
        <v>62</v>
      </c>
      <c r="F12" s="55">
        <v>8.4</v>
      </c>
      <c r="G12" s="55">
        <v>50.9</v>
      </c>
      <c r="H12" s="65">
        <v>28.95979046338423</v>
      </c>
      <c r="I12" s="55">
        <v>4</v>
      </c>
      <c r="J12" s="55">
        <v>7.4</v>
      </c>
      <c r="K12" s="55">
        <v>1.6</v>
      </c>
      <c r="L12" s="64">
        <f>J12*0.61</f>
        <v>4.5140000000000002</v>
      </c>
      <c r="M12" s="64">
        <f>(J12*0.39)*0.9</f>
        <v>2.5974000000000004</v>
      </c>
      <c r="N12" s="64"/>
      <c r="O12" s="64"/>
      <c r="P12" s="64"/>
      <c r="Q12" s="64"/>
      <c r="R12" s="64"/>
      <c r="S12" s="55"/>
      <c r="T12" s="55"/>
      <c r="U12" s="55"/>
      <c r="V12" s="63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 t="s">
        <v>86</v>
      </c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 t="s">
        <v>30</v>
      </c>
      <c r="AV12" s="55"/>
      <c r="AW12" s="55"/>
      <c r="AX12" s="55"/>
      <c r="AY12" s="54"/>
      <c r="AZ12" s="1"/>
    </row>
    <row r="13" spans="1:52" hidden="1" x14ac:dyDescent="0.2">
      <c r="A13" s="3"/>
      <c r="B13" s="3"/>
      <c r="C13" s="3" t="s">
        <v>16</v>
      </c>
      <c r="D13" s="55">
        <v>0.8</v>
      </c>
      <c r="E13" s="55">
        <v>91</v>
      </c>
      <c r="F13" s="55">
        <v>50.6</v>
      </c>
      <c r="G13" s="55">
        <v>12.8</v>
      </c>
      <c r="H13" s="65">
        <v>28.95979046338423</v>
      </c>
      <c r="I13" s="55">
        <v>19.260000000000002</v>
      </c>
      <c r="J13" s="55">
        <v>23.3</v>
      </c>
      <c r="K13" s="55">
        <v>4.2</v>
      </c>
      <c r="L13" s="64">
        <f>J13*0.46</f>
        <v>10.718</v>
      </c>
      <c r="M13" s="64">
        <f>(J13*0.54)*0.5</f>
        <v>6.2910000000000004</v>
      </c>
      <c r="N13" s="64"/>
      <c r="O13" s="64"/>
      <c r="P13" s="64"/>
      <c r="Q13" s="64"/>
      <c r="R13" s="64"/>
      <c r="S13" s="55" t="s">
        <v>89</v>
      </c>
      <c r="T13" s="55"/>
      <c r="U13" s="55" t="s">
        <v>8</v>
      </c>
      <c r="V13" s="63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 t="s">
        <v>70</v>
      </c>
      <c r="AO13" s="55"/>
      <c r="AP13" s="55"/>
      <c r="AQ13" s="55"/>
      <c r="AR13" s="55" t="s">
        <v>42</v>
      </c>
      <c r="AS13" s="55"/>
      <c r="AT13" s="55"/>
      <c r="AU13" s="55">
        <v>52</v>
      </c>
      <c r="AV13" s="55"/>
      <c r="AW13" s="55"/>
      <c r="AX13" s="55"/>
      <c r="AY13" s="54"/>
      <c r="AZ13" s="1"/>
    </row>
    <row r="14" spans="1:52" hidden="1" x14ac:dyDescent="0.2">
      <c r="A14" s="3"/>
      <c r="B14" s="3"/>
      <c r="C14" s="3" t="s">
        <v>17</v>
      </c>
      <c r="D14" s="55">
        <v>70.400000000000006</v>
      </c>
      <c r="E14" s="55">
        <v>92</v>
      </c>
      <c r="F14" s="55">
        <v>9.8000000000000007</v>
      </c>
      <c r="G14" s="55">
        <v>62.3</v>
      </c>
      <c r="H14" s="65">
        <v>28.95979046338423</v>
      </c>
      <c r="I14" s="55">
        <v>4.84</v>
      </c>
      <c r="J14" s="55">
        <v>8.5</v>
      </c>
      <c r="K14" s="55">
        <v>1.5</v>
      </c>
      <c r="L14" s="64">
        <f>J14*0.57</f>
        <v>4.8449999999999998</v>
      </c>
      <c r="M14" s="64">
        <f>(J14*0.43)*0.73</f>
        <v>2.6681499999999998</v>
      </c>
      <c r="N14" s="64"/>
      <c r="O14" s="64"/>
      <c r="P14" s="64"/>
      <c r="Q14" s="64"/>
      <c r="R14" s="64"/>
      <c r="S14" s="64">
        <f>(100-H22)*((S11/(S11+3.36)))</f>
        <v>42.056800298276059</v>
      </c>
      <c r="T14" s="55"/>
      <c r="U14" s="64">
        <f>82.224+(0.185*(100*(U11/(U11+12))))</f>
        <v>95.442966629679105</v>
      </c>
      <c r="V14" s="63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>
        <v>2.8</v>
      </c>
      <c r="AO14" s="55"/>
      <c r="AP14" s="55"/>
      <c r="AQ14" s="55"/>
      <c r="AR14" s="55">
        <v>3.1E-2</v>
      </c>
      <c r="AS14" s="55"/>
      <c r="AT14" s="55"/>
      <c r="AU14" s="55"/>
      <c r="AV14" s="55"/>
      <c r="AW14" s="55"/>
      <c r="AX14" s="55"/>
      <c r="AY14" s="54"/>
      <c r="AZ14" s="1"/>
    </row>
    <row r="15" spans="1:52" hidden="1" x14ac:dyDescent="0.2">
      <c r="A15" s="3"/>
      <c r="B15" s="3"/>
      <c r="C15" s="3" t="s">
        <v>18</v>
      </c>
      <c r="D15" s="55">
        <v>1</v>
      </c>
      <c r="E15" s="55">
        <v>91</v>
      </c>
      <c r="F15" s="55">
        <v>66.7</v>
      </c>
      <c r="G15" s="55">
        <v>88.1</v>
      </c>
      <c r="H15" s="65">
        <v>28.95979046338423</v>
      </c>
      <c r="I15" s="55">
        <v>2.61</v>
      </c>
      <c r="J15" s="55">
        <v>11.9</v>
      </c>
      <c r="K15" s="55">
        <v>5.2</v>
      </c>
      <c r="L15" s="64">
        <f>J15*0.63</f>
        <v>7.4969999999999999</v>
      </c>
      <c r="M15" s="64">
        <f>(J15*0.37)*0.68</f>
        <v>2.9940400000000005</v>
      </c>
      <c r="N15" s="64"/>
      <c r="O15" s="64"/>
      <c r="P15" s="64"/>
      <c r="Q15" s="64"/>
      <c r="R15" s="64"/>
      <c r="S15" s="55"/>
      <c r="T15" s="55"/>
      <c r="U15" s="55"/>
      <c r="V15" s="63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4"/>
      <c r="AZ15" s="1"/>
    </row>
    <row r="16" spans="1:52" hidden="1" x14ac:dyDescent="0.2">
      <c r="A16" s="3"/>
      <c r="B16" s="3"/>
      <c r="C16" s="3" t="s">
        <v>19</v>
      </c>
      <c r="D16" s="55">
        <v>1.8</v>
      </c>
      <c r="E16" s="55">
        <v>91</v>
      </c>
      <c r="F16" s="55">
        <v>19.600000000000001</v>
      </c>
      <c r="G16" s="55"/>
      <c r="H16" s="55"/>
      <c r="I16" s="55">
        <v>7.12</v>
      </c>
      <c r="J16" s="55">
        <v>47.6</v>
      </c>
      <c r="K16" s="55">
        <v>5.2</v>
      </c>
      <c r="L16" s="64">
        <f>J16*0.37</f>
        <v>17.612000000000002</v>
      </c>
      <c r="M16" s="64">
        <f>(J16*0.63)*0.93</f>
        <v>27.888840000000002</v>
      </c>
      <c r="N16" s="64"/>
      <c r="O16" s="64"/>
      <c r="P16" s="64"/>
      <c r="Q16" s="64"/>
      <c r="R16" s="64"/>
      <c r="S16" s="55"/>
      <c r="T16" s="55"/>
      <c r="U16" s="55" t="s">
        <v>11</v>
      </c>
      <c r="V16" s="63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 t="s">
        <v>43</v>
      </c>
      <c r="AS16" s="55"/>
      <c r="AT16" s="55"/>
      <c r="AU16" s="64"/>
      <c r="AV16" s="55"/>
      <c r="AW16" s="55"/>
      <c r="AX16" s="55"/>
      <c r="AY16" s="54"/>
      <c r="AZ16" s="1"/>
    </row>
    <row r="17" spans="1:52" hidden="1" x14ac:dyDescent="0.2">
      <c r="A17" s="3"/>
      <c r="B17" s="3"/>
      <c r="C17" s="3" t="s">
        <v>20</v>
      </c>
      <c r="D17" s="55">
        <v>1.6</v>
      </c>
      <c r="E17" s="55">
        <v>91</v>
      </c>
      <c r="F17" s="55">
        <v>29</v>
      </c>
      <c r="G17" s="55">
        <v>49.4</v>
      </c>
      <c r="H17" s="65">
        <v>28.95979046338423</v>
      </c>
      <c r="I17" s="55">
        <v>3.51</v>
      </c>
      <c r="J17" s="55">
        <v>41.5</v>
      </c>
      <c r="K17" s="55">
        <v>7.9</v>
      </c>
      <c r="L17" s="64">
        <f>J17*0.68</f>
        <v>28.220000000000002</v>
      </c>
      <c r="M17" s="64">
        <f>(J17*0.32)*0.74</f>
        <v>9.8272000000000013</v>
      </c>
      <c r="N17" s="64"/>
      <c r="O17" s="64"/>
      <c r="P17" s="64"/>
      <c r="Q17" s="64"/>
      <c r="R17" s="64"/>
      <c r="S17" s="55"/>
      <c r="T17" s="55"/>
      <c r="U17" s="64">
        <f>I22-1</f>
        <v>5.0684525903614457</v>
      </c>
      <c r="V17" s="63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>
        <v>4.8000000000000001E-2</v>
      </c>
      <c r="AS17" s="55"/>
      <c r="AT17" s="55"/>
      <c r="AU17" s="55"/>
      <c r="AV17" s="55"/>
      <c r="AW17" s="55"/>
      <c r="AX17" s="55"/>
      <c r="AY17" s="54"/>
      <c r="AZ17" s="1"/>
    </row>
    <row r="18" spans="1:52" hidden="1" x14ac:dyDescent="0.2">
      <c r="A18" s="3"/>
      <c r="B18" s="3"/>
      <c r="C18" s="3" t="s">
        <v>21</v>
      </c>
      <c r="D18" s="55">
        <v>1.9</v>
      </c>
      <c r="E18" s="55">
        <v>91</v>
      </c>
      <c r="F18" s="55">
        <v>11.1</v>
      </c>
      <c r="G18" s="55">
        <v>85.7</v>
      </c>
      <c r="H18" s="65">
        <v>28.95979046338423</v>
      </c>
      <c r="I18" s="55">
        <v>2.08</v>
      </c>
      <c r="J18" s="55">
        <v>52.6</v>
      </c>
      <c r="K18" s="55">
        <v>7.2</v>
      </c>
      <c r="L18" s="64">
        <f>J18*0.73</f>
        <v>38.398000000000003</v>
      </c>
      <c r="M18" s="64">
        <f>(J18*0.33)*0.91</f>
        <v>15.795780000000001</v>
      </c>
      <c r="N18" s="64"/>
      <c r="O18" s="64"/>
      <c r="P18" s="64"/>
      <c r="Q18" s="64"/>
      <c r="R18" s="64"/>
      <c r="S18" s="55"/>
      <c r="T18" s="55"/>
      <c r="U18" s="64"/>
      <c r="V18" s="63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4"/>
      <c r="AZ18" s="1"/>
    </row>
    <row r="19" spans="1:52" hidden="1" x14ac:dyDescent="0.2">
      <c r="A19" s="3"/>
      <c r="B19" s="3"/>
      <c r="C19" s="3" t="s">
        <v>22</v>
      </c>
      <c r="D19" s="55"/>
      <c r="E19" s="55"/>
      <c r="F19" s="55"/>
      <c r="G19" s="55"/>
      <c r="H19" s="55"/>
      <c r="I19" s="55">
        <v>89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 t="s">
        <v>12</v>
      </c>
      <c r="V19" s="63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 t="s">
        <v>44</v>
      </c>
      <c r="AS19" s="55"/>
      <c r="AT19" s="55"/>
      <c r="AU19" s="64"/>
      <c r="AV19" s="55"/>
      <c r="AW19" s="55"/>
      <c r="AX19" s="55"/>
      <c r="AY19" s="54"/>
      <c r="AZ19" s="1"/>
    </row>
    <row r="20" spans="1:52" hidden="1" x14ac:dyDescent="0.2">
      <c r="A20" s="3"/>
      <c r="B20" s="3"/>
      <c r="C20" s="3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64">
        <f>100-K22-D22-F22-U17-J22</f>
        <v>18.008702831325305</v>
      </c>
      <c r="V20" s="63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64">
        <v>0.74</v>
      </c>
      <c r="AS20" s="55"/>
      <c r="AT20" s="55"/>
      <c r="AU20" s="55"/>
      <c r="AV20" s="55"/>
      <c r="AW20" s="55"/>
      <c r="AX20" s="55"/>
      <c r="AY20" s="54"/>
      <c r="AZ20" s="1"/>
    </row>
    <row r="21" spans="1:52" hidden="1" x14ac:dyDescent="0.2">
      <c r="A21" s="3"/>
      <c r="B21" s="3"/>
      <c r="C21" s="3"/>
      <c r="D21" s="115" t="s">
        <v>64</v>
      </c>
      <c r="E21" s="115"/>
      <c r="F21" s="115"/>
      <c r="G21" s="115"/>
      <c r="H21" s="115"/>
      <c r="I21" s="115"/>
      <c r="J21" s="115"/>
      <c r="K21" s="115"/>
      <c r="L21" s="115"/>
      <c r="M21" s="115"/>
      <c r="N21" s="55"/>
      <c r="O21" s="55"/>
      <c r="P21" s="55"/>
      <c r="Q21" s="55"/>
      <c r="R21" s="55"/>
      <c r="S21" s="55"/>
      <c r="T21" s="55"/>
      <c r="U21" s="55"/>
      <c r="V21" s="63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4"/>
      <c r="AZ21" s="1"/>
    </row>
    <row r="22" spans="1:52" hidden="1" x14ac:dyDescent="0.2">
      <c r="A22" s="3"/>
      <c r="B22" s="3"/>
      <c r="C22" s="3" t="s">
        <v>23</v>
      </c>
      <c r="D22" s="64">
        <f t="shared" ref="D22:E22" si="0">(D11*$D$26)+(D12*$D$27)+(D13*$D$28)+(D14*$D$29)+(D15*$D$30)+(D16*$D$31)+(D17*$D$32)+(D18*$D$33)+(D19*$D$34)</f>
        <v>24.230807831325301</v>
      </c>
      <c r="E22" s="64">
        <f t="shared" si="0"/>
        <v>83.506499999999988</v>
      </c>
      <c r="F22" s="64">
        <f>(F11*$D$26)+(F12*$D$27)+(F13*$D$28)+(F14*$D$29)+(F15*$D$30)+(F16*$D$31)+(F17*$D$32)+(F18*$D$33)+(F19*$D$34)</f>
        <v>26.302827108433732</v>
      </c>
      <c r="G22" s="64">
        <f>(G11*$D$26)+(G12*$D$27)+(G13*$D$28)+(G14*$D$29)+(G15*$D$30)+(G16*$D$31)+(G17*$D$32)+(G18*$D$33)+(G19*$D$34)</f>
        <v>44.72756746987951</v>
      </c>
      <c r="H22" s="64">
        <f>AVERAGE(H11:H18)</f>
        <v>30.979820397186479</v>
      </c>
      <c r="I22" s="64">
        <f>(I11*$D$26)+(I12*$D$27)+(I13*$D$28)+(I14*$D$29)+(I15*$D$30)+(I16*$D$31)+(I17*$D$32)+(I18*$D$33)+(I19*$D$34)</f>
        <v>6.0684525903614457</v>
      </c>
      <c r="J22" s="64">
        <f>(J11*$D$26)+(J12*$D$27)+(J13*$D$28)+(J14*$D$29)+(J15*$D$30)+(J16*$D$31)+(J17*$D$32)+(J18*$D$33)+(J19*$D$34)</f>
        <v>20.796848192771083</v>
      </c>
      <c r="K22" s="64">
        <f>(K11*$D$26)+(K12*$D$27)+(K13*$D$28)+(K14*$D$29)+(K15*$D$30)+(K16*$D$31)+(K17*$D$32)+(K18*$D$33)+(K19*$D$34)</f>
        <v>5.5923614457831317</v>
      </c>
      <c r="L22" s="64">
        <f>(L11*$D$26)+(L12*$D$27)+(L13*$D$28)+(L14*$D$29)+(L15*$D$30)+(L16*$D$31)+(L17*$D$32)+(L18*$D$33)+(L19*$D$34)</f>
        <v>12.341358837349397</v>
      </c>
      <c r="M22" s="64">
        <f>(M11*$D$26)+(M12*$D$27)+(M13*$D$28)+(M14*$D$29)+(M15*$D$30)+(M16*$D$31)+(M17*$D$32)+(M18*$D$33)+(M19*$D$34)</f>
        <v>6.740797047168674</v>
      </c>
      <c r="N22" s="64"/>
      <c r="O22" s="64"/>
      <c r="P22" s="64"/>
      <c r="Q22" s="64"/>
      <c r="R22" s="64"/>
      <c r="S22" s="55"/>
      <c r="T22" s="55"/>
      <c r="U22" s="55"/>
      <c r="V22" s="63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4"/>
      <c r="AZ22" s="1"/>
    </row>
    <row r="23" spans="1:52" hidden="1" x14ac:dyDescent="0.2">
      <c r="A23" s="3"/>
      <c r="B23" s="3"/>
      <c r="C23" s="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63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4"/>
      <c r="AZ23" s="1"/>
    </row>
    <row r="24" spans="1:52" hidden="1" x14ac:dyDescent="0.2">
      <c r="A24" s="115" t="s">
        <v>65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55"/>
      <c r="M24" s="55"/>
      <c r="N24" s="55"/>
      <c r="O24" s="55"/>
      <c r="P24" s="55"/>
      <c r="Q24" s="55"/>
      <c r="R24" s="55"/>
      <c r="S24" s="55"/>
      <c r="T24" s="61"/>
      <c r="U24" s="61" t="s">
        <v>61</v>
      </c>
      <c r="V24" s="6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4"/>
      <c r="AZ24" s="1"/>
    </row>
    <row r="25" spans="1:52" hidden="1" x14ac:dyDescent="0.2">
      <c r="A25" s="3"/>
      <c r="B25" s="3"/>
      <c r="C25" s="3" t="s">
        <v>55</v>
      </c>
      <c r="D25" s="55"/>
      <c r="E25" s="55"/>
      <c r="F25" s="67" t="s">
        <v>54</v>
      </c>
      <c r="G25" s="55"/>
      <c r="H25" s="55"/>
      <c r="I25" s="55"/>
      <c r="J25" s="67" t="s">
        <v>62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 t="s">
        <v>29</v>
      </c>
      <c r="V25" s="63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4"/>
      <c r="AZ25" s="1"/>
    </row>
    <row r="26" spans="1:52" hidden="1" x14ac:dyDescent="0.2">
      <c r="A26" s="3"/>
      <c r="B26" s="3"/>
      <c r="C26" s="3" t="s">
        <v>14</v>
      </c>
      <c r="D26" s="64">
        <f t="shared" ref="D26:D34" si="1">F26*$K$28</f>
        <v>0.27874698795180719</v>
      </c>
      <c r="E26" s="55"/>
      <c r="F26" s="55">
        <v>0.192</v>
      </c>
      <c r="G26" s="55"/>
      <c r="H26" s="55"/>
      <c r="I26" s="55"/>
      <c r="J26" s="55" t="s">
        <v>24</v>
      </c>
      <c r="K26" s="55">
        <f>SUM(F26:F34)</f>
        <v>0.66400000000000003</v>
      </c>
      <c r="L26" s="55"/>
      <c r="M26" s="55"/>
      <c r="N26" s="55"/>
      <c r="O26" s="55"/>
      <c r="P26" s="55"/>
      <c r="Q26" s="55"/>
      <c r="R26" s="55"/>
      <c r="S26" s="55"/>
      <c r="T26" s="55"/>
      <c r="U26" s="64">
        <f>(0.042*F22*(S14/100))+(0.0423*D22*(U14/100))+(0.094*U17*0.73)+(0.0565*(L22+M22))+(0.04*U20*0.91)</f>
        <v>3.5243204185345078</v>
      </c>
      <c r="V26" s="63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4"/>
      <c r="AZ26" s="1"/>
    </row>
    <row r="27" spans="1:52" hidden="1" x14ac:dyDescent="0.2">
      <c r="A27" s="3"/>
      <c r="B27" s="3"/>
      <c r="C27" s="3" t="s">
        <v>15</v>
      </c>
      <c r="D27" s="64">
        <f t="shared" si="1"/>
        <v>0.11614457831325301</v>
      </c>
      <c r="E27" s="55"/>
      <c r="F27" s="55">
        <v>0.08</v>
      </c>
      <c r="G27" s="55"/>
      <c r="H27" s="55"/>
      <c r="I27" s="55"/>
      <c r="J27" s="55" t="s">
        <v>25</v>
      </c>
      <c r="K27" s="55">
        <f>K26+0.3</f>
        <v>0.96399999999999997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63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4"/>
      <c r="AZ27" s="1"/>
    </row>
    <row r="28" spans="1:52" hidden="1" x14ac:dyDescent="0.2">
      <c r="A28" s="3"/>
      <c r="B28" s="3"/>
      <c r="C28" s="3" t="s">
        <v>16</v>
      </c>
      <c r="D28" s="64">
        <f t="shared" si="1"/>
        <v>6.678313253012047E-2</v>
      </c>
      <c r="E28" s="55"/>
      <c r="F28" s="55">
        <v>4.5999999999999999E-2</v>
      </c>
      <c r="G28" s="55"/>
      <c r="H28" s="55"/>
      <c r="I28" s="55"/>
      <c r="J28" s="55"/>
      <c r="K28" s="64">
        <f>K27/K26</f>
        <v>1.4518072289156625</v>
      </c>
      <c r="L28" s="55"/>
      <c r="M28" s="55"/>
      <c r="N28" s="55"/>
      <c r="O28" s="55"/>
      <c r="P28" s="55"/>
      <c r="Q28" s="55"/>
      <c r="R28" s="55"/>
      <c r="S28" s="55"/>
      <c r="T28" s="55"/>
      <c r="U28" s="55" t="s">
        <v>26</v>
      </c>
      <c r="V28" s="63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4"/>
      <c r="AZ28" s="1"/>
    </row>
    <row r="29" spans="1:52" hidden="1" x14ac:dyDescent="0.2">
      <c r="A29" s="3"/>
      <c r="B29" s="3"/>
      <c r="C29" s="3" t="s">
        <v>17</v>
      </c>
      <c r="D29" s="64">
        <f t="shared" si="1"/>
        <v>0.20760843373493973</v>
      </c>
      <c r="E29" s="55"/>
      <c r="F29" s="55">
        <v>0.14299999999999999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>
        <v>70</v>
      </c>
      <c r="V29" s="63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4"/>
      <c r="AZ29" s="1"/>
    </row>
    <row r="30" spans="1:52" hidden="1" x14ac:dyDescent="0.2">
      <c r="A30" s="3"/>
      <c r="B30" s="3"/>
      <c r="C30" s="3" t="s">
        <v>18</v>
      </c>
      <c r="D30" s="64">
        <f t="shared" si="1"/>
        <v>6.097590361445783E-2</v>
      </c>
      <c r="E30" s="55"/>
      <c r="F30" s="55">
        <v>4.2000000000000003E-2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63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4"/>
      <c r="AZ30" s="1"/>
    </row>
    <row r="31" spans="1:52" hidden="1" x14ac:dyDescent="0.2">
      <c r="A31" s="3"/>
      <c r="B31" s="3"/>
      <c r="C31" s="3" t="s">
        <v>19</v>
      </c>
      <c r="D31" s="64">
        <f t="shared" si="1"/>
        <v>0.10307831325301203</v>
      </c>
      <c r="E31" s="55"/>
      <c r="F31" s="55">
        <v>7.0999999999999994E-2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 t="s">
        <v>28</v>
      </c>
      <c r="V31" s="63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4"/>
      <c r="AZ31" s="1"/>
    </row>
    <row r="32" spans="1:52" hidden="1" x14ac:dyDescent="0.2">
      <c r="A32" s="3"/>
      <c r="B32" s="3"/>
      <c r="C32" s="3" t="s">
        <v>20</v>
      </c>
      <c r="D32" s="64">
        <f t="shared" si="1"/>
        <v>9.4367469879518065E-2</v>
      </c>
      <c r="E32" s="55"/>
      <c r="F32" s="55">
        <v>6.5000000000000002E-2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64">
        <f>U26*(U29/100)</f>
        <v>2.4670242929741555</v>
      </c>
      <c r="V32" s="63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4"/>
      <c r="AZ32" s="1"/>
    </row>
    <row r="33" spans="1:56" hidden="1" x14ac:dyDescent="0.2">
      <c r="A33" s="3"/>
      <c r="B33" s="3"/>
      <c r="C33" s="3" t="s">
        <v>21</v>
      </c>
      <c r="D33" s="64">
        <f t="shared" si="1"/>
        <v>2.4680722891566264E-2</v>
      </c>
      <c r="E33" s="55"/>
      <c r="F33" s="55">
        <v>1.7000000000000001E-2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63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4"/>
      <c r="AZ33" s="1"/>
    </row>
    <row r="34" spans="1:56" hidden="1" x14ac:dyDescent="0.2">
      <c r="A34" s="3"/>
      <c r="B34" s="3"/>
      <c r="C34" s="3" t="s">
        <v>22</v>
      </c>
      <c r="D34" s="64">
        <f t="shared" si="1"/>
        <v>1.16144578313253E-2</v>
      </c>
      <c r="E34" s="55"/>
      <c r="F34" s="55">
        <v>8.0000000000000002E-3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63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4"/>
      <c r="AZ34" s="1"/>
    </row>
    <row r="35" spans="1:56" hidden="1" x14ac:dyDescent="0.2">
      <c r="A35" s="3"/>
      <c r="B35" s="3"/>
      <c r="C35" s="3"/>
      <c r="D35" s="55"/>
      <c r="E35" s="55"/>
      <c r="F35" s="55"/>
      <c r="G35" s="55"/>
      <c r="H35" s="55"/>
      <c r="I35" s="55"/>
      <c r="J35" s="55"/>
      <c r="K35" s="55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3"/>
      <c r="W35" s="112" t="s">
        <v>49</v>
      </c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6"/>
      <c r="AR35" s="116"/>
      <c r="AS35" s="116"/>
      <c r="AT35" s="55"/>
      <c r="AU35" s="55"/>
      <c r="AV35" s="55"/>
      <c r="AW35" s="55"/>
      <c r="AX35" s="55"/>
      <c r="AY35" s="54"/>
      <c r="AZ35" s="1"/>
      <c r="BA35" s="55"/>
      <c r="BC35" s="55"/>
      <c r="BD35" s="55"/>
    </row>
    <row r="36" spans="1:56" ht="38.25" x14ac:dyDescent="0.2">
      <c r="A36" s="108"/>
      <c r="B36" s="108"/>
      <c r="C36" s="68" t="s">
        <v>113</v>
      </c>
      <c r="D36" s="28" t="s">
        <v>114</v>
      </c>
      <c r="E36" s="28" t="s">
        <v>114</v>
      </c>
      <c r="F36" s="28" t="s">
        <v>114</v>
      </c>
      <c r="G36" s="28" t="s">
        <v>114</v>
      </c>
      <c r="H36" s="69" t="s">
        <v>307</v>
      </c>
      <c r="I36" s="69" t="s">
        <v>307</v>
      </c>
      <c r="J36" s="69" t="s">
        <v>307</v>
      </c>
      <c r="K36" s="69" t="s">
        <v>307</v>
      </c>
      <c r="L36" s="110" t="s">
        <v>56</v>
      </c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46" t="s">
        <v>34</v>
      </c>
      <c r="X36" s="46" t="s">
        <v>35</v>
      </c>
      <c r="Y36" s="46" t="s">
        <v>36</v>
      </c>
      <c r="AA36" s="46" t="s">
        <v>45</v>
      </c>
      <c r="AB36" s="46" t="s">
        <v>45</v>
      </c>
      <c r="AC36" s="46" t="s">
        <v>74</v>
      </c>
      <c r="AD36" s="46" t="s">
        <v>80</v>
      </c>
      <c r="AE36" s="46" t="s">
        <v>45</v>
      </c>
      <c r="AF36" s="46" t="s">
        <v>77</v>
      </c>
      <c r="AG36" s="46" t="s">
        <v>85</v>
      </c>
      <c r="AH36" s="46" t="s">
        <v>33</v>
      </c>
      <c r="AI36" s="46" t="s">
        <v>82</v>
      </c>
      <c r="AJ36" s="46" t="s">
        <v>58</v>
      </c>
      <c r="AK36" s="46" t="s">
        <v>32</v>
      </c>
      <c r="AL36" s="46" t="s">
        <v>45</v>
      </c>
      <c r="AM36" s="46" t="s">
        <v>45</v>
      </c>
      <c r="AN36" s="46" t="s">
        <v>289</v>
      </c>
      <c r="AO36" s="46" t="s">
        <v>66</v>
      </c>
      <c r="AP36" s="46" t="s">
        <v>107</v>
      </c>
      <c r="AQ36" s="29" t="s">
        <v>107</v>
      </c>
      <c r="AR36" s="29" t="s">
        <v>46</v>
      </c>
      <c r="AS36" s="29" t="s">
        <v>46</v>
      </c>
      <c r="AT36" s="29" t="s">
        <v>71</v>
      </c>
      <c r="AU36" s="29" t="s">
        <v>71</v>
      </c>
      <c r="AV36" s="29" t="s">
        <v>73</v>
      </c>
      <c r="AW36" s="29" t="s">
        <v>107</v>
      </c>
      <c r="AX36" s="29" t="s">
        <v>107</v>
      </c>
      <c r="AY36" s="30"/>
      <c r="AZ36" s="1"/>
      <c r="BA36" s="55"/>
      <c r="BB36" s="64"/>
      <c r="BC36" s="64"/>
      <c r="BD36" s="64"/>
    </row>
    <row r="37" spans="1:56" s="75" customFormat="1" ht="45" customHeight="1" x14ac:dyDescent="0.25">
      <c r="A37" s="36" t="s">
        <v>52</v>
      </c>
      <c r="B37" s="36" t="s">
        <v>115</v>
      </c>
      <c r="C37" s="37" t="s">
        <v>110</v>
      </c>
      <c r="D37" s="37" t="s">
        <v>131</v>
      </c>
      <c r="E37" s="37" t="s">
        <v>109</v>
      </c>
      <c r="F37" s="37" t="s">
        <v>132</v>
      </c>
      <c r="G37" s="37" t="s">
        <v>133</v>
      </c>
      <c r="H37" s="70" t="s">
        <v>134</v>
      </c>
      <c r="I37" s="71" t="s">
        <v>135</v>
      </c>
      <c r="J37" s="70" t="s">
        <v>286</v>
      </c>
      <c r="K37" s="70" t="s">
        <v>125</v>
      </c>
      <c r="L37" s="36" t="s">
        <v>7</v>
      </c>
      <c r="M37" s="36" t="s">
        <v>8</v>
      </c>
      <c r="N37" s="36" t="s">
        <v>90</v>
      </c>
      <c r="O37" s="70" t="s">
        <v>296</v>
      </c>
      <c r="P37" s="36" t="s">
        <v>87</v>
      </c>
      <c r="Q37" s="36" t="s">
        <v>88</v>
      </c>
      <c r="R37" s="70" t="s">
        <v>291</v>
      </c>
      <c r="S37" s="36" t="s">
        <v>9</v>
      </c>
      <c r="T37" s="36" t="s">
        <v>10</v>
      </c>
      <c r="U37" s="36" t="s">
        <v>11</v>
      </c>
      <c r="V37" s="36" t="s">
        <v>12</v>
      </c>
      <c r="W37" s="36" t="s">
        <v>79</v>
      </c>
      <c r="X37" s="36" t="s">
        <v>76</v>
      </c>
      <c r="Y37" s="36" t="s">
        <v>76</v>
      </c>
      <c r="Z37" s="36" t="s">
        <v>91</v>
      </c>
      <c r="AA37" s="36" t="s">
        <v>92</v>
      </c>
      <c r="AB37" s="36" t="s">
        <v>93</v>
      </c>
      <c r="AC37" s="36" t="s">
        <v>75</v>
      </c>
      <c r="AD37" s="36" t="s">
        <v>81</v>
      </c>
      <c r="AE37" s="36" t="s">
        <v>31</v>
      </c>
      <c r="AF37" s="36" t="s">
        <v>76</v>
      </c>
      <c r="AG37" s="36" t="s">
        <v>76</v>
      </c>
      <c r="AH37" s="36" t="s">
        <v>78</v>
      </c>
      <c r="AI37" s="36" t="s">
        <v>83</v>
      </c>
      <c r="AJ37" s="36"/>
      <c r="AK37" s="36"/>
      <c r="AL37" s="36" t="s">
        <v>38</v>
      </c>
      <c r="AM37" s="36" t="s">
        <v>39</v>
      </c>
      <c r="AN37" s="36" t="s">
        <v>68</v>
      </c>
      <c r="AO37" s="36" t="s">
        <v>40</v>
      </c>
      <c r="AP37" s="42" t="s">
        <v>290</v>
      </c>
      <c r="AQ37" s="42" t="s">
        <v>293</v>
      </c>
      <c r="AR37" s="72" t="s">
        <v>47</v>
      </c>
      <c r="AS37" s="72" t="s">
        <v>48</v>
      </c>
      <c r="AT37" s="72" t="s">
        <v>76</v>
      </c>
      <c r="AU37" s="72" t="s">
        <v>72</v>
      </c>
      <c r="AV37" s="72" t="s">
        <v>72</v>
      </c>
      <c r="AW37" s="42" t="s">
        <v>108</v>
      </c>
      <c r="AX37" s="42" t="s">
        <v>111</v>
      </c>
      <c r="AY37" s="73"/>
      <c r="AZ37" s="73"/>
      <c r="BA37" s="74"/>
      <c r="BB37" s="74"/>
    </row>
    <row r="38" spans="1:56" x14ac:dyDescent="0.2">
      <c r="A38" s="47" t="s">
        <v>193</v>
      </c>
      <c r="B38" s="47"/>
      <c r="C38" s="48">
        <v>10</v>
      </c>
      <c r="D38" s="48">
        <v>37.1</v>
      </c>
      <c r="E38" s="48">
        <v>76.8</v>
      </c>
      <c r="F38" s="48">
        <v>3.5</v>
      </c>
      <c r="G38" s="48">
        <v>7.4</v>
      </c>
      <c r="H38" s="80">
        <f>'Fiber_Ash Inputs'!V11</f>
        <v>35.6</v>
      </c>
      <c r="I38" s="80">
        <f>'Fiber_Ash Inputs'!W11</f>
        <v>64.2</v>
      </c>
      <c r="J38" s="80">
        <f>'Fiber_Ash Inputs'!X11</f>
        <v>7.9</v>
      </c>
      <c r="K38" s="80">
        <f>'Fiber_Ash Inputs'!U11</f>
        <v>3.8</v>
      </c>
      <c r="L38" s="76">
        <f>100*((LN(100-E38)-4.6052)/-6)</f>
        <v>24.35079535546226</v>
      </c>
      <c r="M38" s="76">
        <f>82.224+(0.185*(100*(L38/(L38+12))))</f>
        <v>94.616843393682686</v>
      </c>
      <c r="N38" s="76">
        <f t="shared" ref="N38" si="2">(J38/(H38/100))</f>
        <v>22.191011235955056</v>
      </c>
      <c r="O38" s="76">
        <f>IF(I38+N38&lt;100,N38,IF(I38+N38=100,99.9-I38,IF(I38+N38&gt;100,99.9-I38)))</f>
        <v>22.191011235955056</v>
      </c>
      <c r="P38" s="76">
        <f>(100*((LN((100-O38)-I38)-4.6052)/-'Fiber_Ash Inputs'!$D$17))*'Fiber_Ash Inputs'!$C$17</f>
        <v>7.3869240261072449</v>
      </c>
      <c r="Q38" s="76">
        <f>(100-O38)*(1.1*(P38/(P38+3.36)))</f>
        <v>58.830414718402729</v>
      </c>
      <c r="R38" s="76">
        <f>IF('Fiber_Ash Inputs'!$B$11=30,MILK2024_Imperial!I38,IF('Fiber_Ash Inputs'!$B$11=48,MILK2024_Imperial!I38*0.926))</f>
        <v>64.2</v>
      </c>
      <c r="S38" s="76">
        <f t="shared" ref="S38" si="3">G38*0.77</f>
        <v>5.6980000000000004</v>
      </c>
      <c r="T38" s="76">
        <f t="shared" ref="T38" si="4">(G38*0.33)*0.7</f>
        <v>1.7094</v>
      </c>
      <c r="U38" s="46">
        <f t="shared" ref="U38" si="5">F38-1</f>
        <v>2.5</v>
      </c>
      <c r="V38" s="77">
        <f t="shared" ref="V38" si="6">100-K38-D38-H38-U38-G38</f>
        <v>13.6</v>
      </c>
      <c r="W38" s="76">
        <f>((G38*0.3+MILK2024_Imperial!$J$22*0.7)/100)*MILK2024_Imperial!AT38</f>
        <v>4.5856445751997779</v>
      </c>
      <c r="X38" s="76">
        <f>((S38*0.3+MILK2024_Imperial!$L$22*0.7)/100)*MILK2024_Imperial!AT38</f>
        <v>2.8283731001045389</v>
      </c>
      <c r="Y38" s="76">
        <f>((T38*0.3+MILK2024_Imperial!$M$22*0.7)/100)*MILK2024_Imperial!AT38</f>
        <v>1.4298208821942155</v>
      </c>
      <c r="Z38" s="76">
        <f t="shared" ref="Z38" si="7">(0.042*H38*(Q38/100))+(0.0423*D38*(M38/100))+(0.094*U38*0.73)+(0.0565*(S38+T38))+(0.04*V38*0.91)</f>
        <v>3.4495909692996376</v>
      </c>
      <c r="AA38" s="76">
        <f t="shared" ref="AA38" si="8">Z38*($AA$10/100)</f>
        <v>1.0348772907898913</v>
      </c>
      <c r="AB38" s="76">
        <f>AA38+MILK2024_Imperial!$U$32</f>
        <v>3.501901583764047</v>
      </c>
      <c r="AC38" s="76">
        <f>($AC$10*0.2)/(MILK2024_Imperial!AT38)</f>
        <v>2.1952587200950457</v>
      </c>
      <c r="AD38" s="76">
        <f>11.62+0.134*(H38*0.3+$F$22*0.7)</f>
        <v>15.518325182771083</v>
      </c>
      <c r="AE38" s="76">
        <f>AB38-0.00565*AD38-0.00565*AC38-0.004*34.3</f>
        <v>3.2646198347128537</v>
      </c>
      <c r="AF38" s="46">
        <f>(AC38*MILK2024_Imperial!AT38)/1000</f>
        <v>6.0000000000000005E-2</v>
      </c>
      <c r="AG38" s="76">
        <f>(AD38*MILK2024_Imperial!AT38)/1000</f>
        <v>0.42414112853447733</v>
      </c>
      <c r="AH38" s="76">
        <f>((X38+Y38)-(AG38+AF38))/W38</f>
        <v>0.82301469114619663</v>
      </c>
      <c r="AI38" s="50">
        <f t="shared" ref="AI38" si="9">(((W38*AH38)-$AI$10)*1000)/6.25</f>
        <v>339.84845660228433</v>
      </c>
      <c r="AJ38" s="76">
        <f>(0.0146*AI38)/MILK2024_Imperial!AT38</f>
        <v>0.18154012004763848</v>
      </c>
      <c r="AK38" s="76">
        <f>(0.294*MILK2024_Imperial!AT38-0.347*(U38*0.3+MILK2024_Imperial!$U$17*0.7)+0.0409*(H38*0.3+$F$22*0.7))/MILK2024_Imperial!AT38</f>
        <v>0.28296826901575345</v>
      </c>
      <c r="AL38" s="76">
        <f>AE38-AK38-AJ38</f>
        <v>2.8001114456494616</v>
      </c>
      <c r="AM38" s="76">
        <f>0.66*AL38</f>
        <v>1.8480735541286448</v>
      </c>
      <c r="AN38" s="76">
        <f t="shared" ref="AN38:AN69" si="10">((AM38*AT38)-$AN$11-$AN$14)</f>
        <v>33.380863358701461</v>
      </c>
      <c r="AO38" s="76">
        <f>AA38/AB38</f>
        <v>0.29551866779692454</v>
      </c>
      <c r="AP38" s="78">
        <f>AN38*AO38</f>
        <v>9.8646682696746275</v>
      </c>
      <c r="AQ38" s="78">
        <f>((AN38/AT38*AO38))*2.2</f>
        <v>0.79403496479443159</v>
      </c>
      <c r="AR38" s="78">
        <f t="shared" ref="AR38:AR69" si="11">(AP38)/$AR$20</f>
        <v>13.330632796857605</v>
      </c>
      <c r="AS38" s="78">
        <f>AR38*2.2</f>
        <v>29.327392153086734</v>
      </c>
      <c r="AT38" s="78">
        <f t="shared" ref="AT38:AT69" si="12">12-0.107*($F$22*0.7+H38*0.3)+8.17*($AU$10/($F$22*0.7+H38*0.3))+0.0253*($G$22*0.7+R38*0.3)-0.328*(($AU$10/($F$22*0.7+H38*0.3))-0.602)*(($G$22*0.7+R38*0.3)-48.3)+0.225*$AU$13+0.0039*(($G$22*0.7+R38*0.3)-48.3)*($AU$13-33.1)</f>
        <v>27.331630413659056</v>
      </c>
      <c r="AU38" s="78">
        <f>AT38*2.2</f>
        <v>60.12958691004993</v>
      </c>
      <c r="AV38" s="78">
        <f>AU38*0.3</f>
        <v>18.038876073014979</v>
      </c>
      <c r="AW38" s="79">
        <f t="shared" ref="AW38:AW69" si="13">(AS38/AV38)*2000</f>
        <v>3251.576432409629</v>
      </c>
      <c r="AX38" s="79">
        <f t="shared" ref="AX38:AX69" si="14">C38*AW38</f>
        <v>32515.76432409629</v>
      </c>
      <c r="AY38" s="1"/>
      <c r="AZ38" s="1"/>
      <c r="BA38" s="55"/>
      <c r="BD38" s="55"/>
    </row>
    <row r="39" spans="1:56" x14ac:dyDescent="0.2">
      <c r="A39" s="47" t="s">
        <v>194</v>
      </c>
      <c r="B39" s="47"/>
      <c r="C39" s="48">
        <v>10</v>
      </c>
      <c r="D39" s="48">
        <v>37.1</v>
      </c>
      <c r="E39" s="48">
        <v>76.8</v>
      </c>
      <c r="F39" s="48">
        <v>3.5</v>
      </c>
      <c r="G39" s="48">
        <v>7.4</v>
      </c>
      <c r="H39" s="80">
        <f>'Fiber_Ash Inputs'!V12</f>
        <v>37</v>
      </c>
      <c r="I39" s="80">
        <f>'Fiber_Ash Inputs'!W12</f>
        <v>64.2</v>
      </c>
      <c r="J39" s="80">
        <f>'Fiber_Ash Inputs'!X12</f>
        <v>7.9</v>
      </c>
      <c r="K39" s="80">
        <f>'Fiber_Ash Inputs'!U12</f>
        <v>3.8</v>
      </c>
      <c r="L39" s="76">
        <f t="shared" ref="L39:L102" si="15">100*((LN(100-E39)-4.6052)/-6)</f>
        <v>24.35079535546226</v>
      </c>
      <c r="M39" s="76">
        <f t="shared" ref="M39:M102" si="16">82.224+(0.185*(100*(L39/(L39+12))))</f>
        <v>94.616843393682686</v>
      </c>
      <c r="N39" s="76">
        <f t="shared" ref="N39:N102" si="17">(J39/(H39/100))</f>
        <v>21.351351351351351</v>
      </c>
      <c r="O39" s="76">
        <f t="shared" ref="O39:O102" si="18">IF(I39+N39&lt;100,N39,IF(I39+N39=100,99.9-I39,IF(I39+N39&gt;100,99.9-I39)))</f>
        <v>21.351351351351351</v>
      </c>
      <c r="P39" s="76">
        <f>(100*((LN((100-O39)-I39)-4.6052)/-'Fiber_Ash Inputs'!$D$17))*'Fiber_Ash Inputs'!$C$17</f>
        <v>7.1651818849607638</v>
      </c>
      <c r="Q39" s="76">
        <f t="shared" ref="Q39:Q102" si="19">(100-O39)*(1.1*(P39/(P39+3.36)))</f>
        <v>58.895424953850679</v>
      </c>
      <c r="R39" s="76">
        <f>IF('Fiber_Ash Inputs'!$B$11=30,MILK2024_Imperial!I39,IF('Fiber_Ash Inputs'!$B$11=48,MILK2024_Imperial!I39*0.926))</f>
        <v>64.2</v>
      </c>
      <c r="S39" s="76">
        <f t="shared" ref="S39:S102" si="20">G39*0.77</f>
        <v>5.6980000000000004</v>
      </c>
      <c r="T39" s="76">
        <f t="shared" ref="T39:T102" si="21">(G39*0.33)*0.7</f>
        <v>1.7094</v>
      </c>
      <c r="U39" s="46">
        <f t="shared" ref="U39:U102" si="22">F39-1</f>
        <v>2.5</v>
      </c>
      <c r="V39" s="77">
        <f t="shared" ref="V39:V102" si="23">100-K39-D39-H39-U39-G39</f>
        <v>12.200000000000001</v>
      </c>
      <c r="W39" s="76">
        <f>((G39*0.3+MILK2024_Imperial!$J$22*0.7)/100)*MILK2024_Imperial!AT39</f>
        <v>4.5665248144131567</v>
      </c>
      <c r="X39" s="76">
        <f>((S39*0.3+MILK2024_Imperial!$L$22*0.7)/100)*MILK2024_Imperial!AT39</f>
        <v>2.8165802504402242</v>
      </c>
      <c r="Y39" s="76">
        <f>((T39*0.3+MILK2024_Imperial!$M$22*0.7)/100)*MILK2024_Imperial!AT39</f>
        <v>1.4238592703015018</v>
      </c>
      <c r="Z39" s="76">
        <f t="shared" ref="Z39:Z102" si="24">(0.042*H39*(Q39/100))+(0.0423*D39*(M39/100))+(0.094*U39*0.73)+(0.0565*(S39+T39))+(0.04*V39*0.91)</f>
        <v>3.4342335122129199</v>
      </c>
      <c r="AA39" s="76">
        <f t="shared" ref="AA39:AA102" si="25">Z39*($AA$10/100)</f>
        <v>1.030270053663876</v>
      </c>
      <c r="AB39" s="76">
        <f>AA39+MILK2024_Imperial!$U$32</f>
        <v>3.4972943466380313</v>
      </c>
      <c r="AC39" s="76">
        <f>($AC$10*0.2)/(MILK2024_Imperial!AT39)</f>
        <v>2.2044501344196723</v>
      </c>
      <c r="AD39" s="76">
        <f t="shared" ref="AD39:AD102" si="26">11.62+0.134*(H39*0.3+$F$22*0.7)</f>
        <v>15.574605182771084</v>
      </c>
      <c r="AE39" s="76">
        <f t="shared" ref="AE39:AE102" si="27">AB39-0.00565*AD39-0.00565*AC39-0.004*34.3</f>
        <v>3.2596426840959039</v>
      </c>
      <c r="AF39" s="46">
        <f>(AC39*MILK2024_Imperial!AT39)/1000</f>
        <v>0.06</v>
      </c>
      <c r="AG39" s="76">
        <f>(AD39*MILK2024_Imperial!AT39)/1000</f>
        <v>0.42390449045574286</v>
      </c>
      <c r="AH39" s="76">
        <f t="shared" ref="AH39:AH102" si="28">((X39+Y39)-(AG39+AF39))/W39</f>
        <v>0.82262446454454097</v>
      </c>
      <c r="AI39" s="50">
        <f t="shared" ref="AI39:AI102" si="29">(((W39*AH39)-$AI$10)*1000)/6.25</f>
        <v>337.04560484575717</v>
      </c>
      <c r="AJ39" s="76">
        <f>(0.0146*AI39)/MILK2024_Imperial!AT39</f>
        <v>0.18079672236756203</v>
      </c>
      <c r="AK39" s="76">
        <f>(0.294*MILK2024_Imperial!AT39-0.347*(U39*0.3+MILK2024_Imperial!$U$17*0.7)+0.0409*(H39*0.3+$F$22*0.7))/MILK2024_Imperial!AT39</f>
        <v>0.28355321390467109</v>
      </c>
      <c r="AL39" s="76">
        <f t="shared" ref="AL39:AL102" si="30">AE39-AK39-AJ39</f>
        <v>2.7952927478236704</v>
      </c>
      <c r="AM39" s="76">
        <f t="shared" ref="AM39:AM102" si="31">0.66*AL39</f>
        <v>1.8448932135636227</v>
      </c>
      <c r="AN39" s="76">
        <f t="shared" si="10"/>
        <v>33.083697776818966</v>
      </c>
      <c r="AO39" s="76">
        <f t="shared" ref="AO39:AO102" si="32">AA39/AB39</f>
        <v>0.29459060392050801</v>
      </c>
      <c r="AP39" s="78">
        <f t="shared" ref="AP39:AP102" si="33">AN39*AO39</f>
        <v>9.7461465079966665</v>
      </c>
      <c r="AQ39" s="78">
        <f t="shared" ref="AQ39:AQ102" si="34">((AN39/AT39*AO39))*2.2</f>
        <v>0.78777944591965932</v>
      </c>
      <c r="AR39" s="78">
        <f t="shared" si="11"/>
        <v>13.170468254049549</v>
      </c>
      <c r="AS39" s="78">
        <f t="shared" ref="AS39:AS102" si="35">AR39*2.2</f>
        <v>28.975030158909011</v>
      </c>
      <c r="AT39" s="78">
        <f t="shared" si="12"/>
        <v>27.217671682918411</v>
      </c>
      <c r="AU39" s="78">
        <f t="shared" ref="AU39:AU102" si="36">AT39*2.2</f>
        <v>59.87887770242051</v>
      </c>
      <c r="AV39" s="78">
        <f t="shared" ref="AV39:AV102" si="37">AU39*0.3</f>
        <v>17.963663310726151</v>
      </c>
      <c r="AW39" s="79">
        <f t="shared" si="13"/>
        <v>3225.9600570010621</v>
      </c>
      <c r="AX39" s="79">
        <f t="shared" si="14"/>
        <v>32259.600570010622</v>
      </c>
      <c r="AY39" s="1"/>
      <c r="AZ39" s="1"/>
      <c r="BA39" s="55"/>
      <c r="BB39" s="64"/>
    </row>
    <row r="40" spans="1:56" x14ac:dyDescent="0.2">
      <c r="A40" s="47" t="s">
        <v>195</v>
      </c>
      <c r="B40" s="47"/>
      <c r="C40" s="48">
        <v>10</v>
      </c>
      <c r="D40" s="48">
        <v>37.1</v>
      </c>
      <c r="E40" s="48">
        <v>76.8</v>
      </c>
      <c r="F40" s="48">
        <v>3.5</v>
      </c>
      <c r="G40" s="48">
        <v>7.4</v>
      </c>
      <c r="H40" s="80">
        <f>'Fiber_Ash Inputs'!V13</f>
        <v>39</v>
      </c>
      <c r="I40" s="80">
        <f>'Fiber_Ash Inputs'!W13</f>
        <v>64.2</v>
      </c>
      <c r="J40" s="80">
        <f>'Fiber_Ash Inputs'!X13</f>
        <v>7.9</v>
      </c>
      <c r="K40" s="80">
        <f>'Fiber_Ash Inputs'!U13</f>
        <v>3.8</v>
      </c>
      <c r="L40" s="76">
        <f t="shared" si="15"/>
        <v>24.35079535546226</v>
      </c>
      <c r="M40" s="76">
        <f t="shared" si="16"/>
        <v>94.616843393682686</v>
      </c>
      <c r="N40" s="76">
        <f t="shared" si="17"/>
        <v>20.256410256410255</v>
      </c>
      <c r="O40" s="76">
        <f t="shared" si="18"/>
        <v>20.256410256410255</v>
      </c>
      <c r="P40" s="76">
        <f>(100*((LN((100-O40)-I40)-4.6052)/-'Fiber_Ash Inputs'!$D$17))*'Fiber_Ash Inputs'!$C$17</f>
        <v>6.8946358574294191</v>
      </c>
      <c r="Q40" s="76">
        <f t="shared" si="19"/>
        <v>58.976576348419293</v>
      </c>
      <c r="R40" s="76">
        <f>IF('Fiber_Ash Inputs'!$B$11=30,MILK2024_Imperial!I40,IF('Fiber_Ash Inputs'!$B$11=48,MILK2024_Imperial!I40*0.926))</f>
        <v>64.2</v>
      </c>
      <c r="S40" s="76">
        <f t="shared" si="20"/>
        <v>5.6980000000000004</v>
      </c>
      <c r="T40" s="76">
        <f t="shared" si="21"/>
        <v>1.7094</v>
      </c>
      <c r="U40" s="46">
        <f t="shared" si="22"/>
        <v>2.5</v>
      </c>
      <c r="V40" s="77">
        <f t="shared" si="23"/>
        <v>10.200000000000001</v>
      </c>
      <c r="W40" s="76">
        <f>((G40*0.3+MILK2024_Imperial!$J$22*0.7)/100)*MILK2024_Imperial!AT40</f>
        <v>4.5397712272399255</v>
      </c>
      <c r="X40" s="76">
        <f>((S40*0.3+MILK2024_Imperial!$L$22*0.7)/100)*MILK2024_Imperial!AT40</f>
        <v>2.8000789440151022</v>
      </c>
      <c r="Y40" s="76">
        <f>((T40*0.3+MILK2024_Imperial!$M$22*0.7)/100)*MILK2024_Imperial!AT40</f>
        <v>1.4155174032015592</v>
      </c>
      <c r="Z40" s="76">
        <f t="shared" si="24"/>
        <v>3.4122349290171883</v>
      </c>
      <c r="AA40" s="76">
        <f t="shared" si="25"/>
        <v>1.0236704787051565</v>
      </c>
      <c r="AB40" s="76">
        <f>AA40+MILK2024_Imperial!$U$32</f>
        <v>3.490694771679312</v>
      </c>
      <c r="AC40" s="76">
        <f>($AC$10*0.2)/(MILK2024_Imperial!AT40)</f>
        <v>2.2174413064167018</v>
      </c>
      <c r="AD40" s="76">
        <f t="shared" si="26"/>
        <v>15.655005182771085</v>
      </c>
      <c r="AE40" s="76">
        <f t="shared" si="27"/>
        <v>3.2525154490154011</v>
      </c>
      <c r="AF40" s="46">
        <f>(AC40*MILK2024_Imperial!AT40)/1000</f>
        <v>0.06</v>
      </c>
      <c r="AG40" s="76">
        <f>(AD40*MILK2024_Imperial!AT40)/1000</f>
        <v>0.42359647051228499</v>
      </c>
      <c r="AH40" s="76">
        <f t="shared" si="28"/>
        <v>0.82206782894946551</v>
      </c>
      <c r="AI40" s="50">
        <f t="shared" si="29"/>
        <v>333.11998027270022</v>
      </c>
      <c r="AJ40" s="76">
        <f>(0.0146*AI40)/MILK2024_Imperial!AT40</f>
        <v>0.17974400770068788</v>
      </c>
      <c r="AK40" s="76">
        <f>(0.294*MILK2024_Imperial!AT40-0.347*(U40*0.3+MILK2024_Imperial!$U$17*0.7)+0.0409*(H40*0.3+$F$22*0.7))/MILK2024_Imperial!AT40</f>
        <v>0.28439858284243719</v>
      </c>
      <c r="AL40" s="76">
        <f t="shared" si="30"/>
        <v>2.7883728584722758</v>
      </c>
      <c r="AM40" s="76">
        <f t="shared" si="31"/>
        <v>1.8403260865917022</v>
      </c>
      <c r="AN40" s="76">
        <f t="shared" si="10"/>
        <v>32.665935917661706</v>
      </c>
      <c r="AO40" s="76">
        <f t="shared" si="32"/>
        <v>0.29325694329117369</v>
      </c>
      <c r="AP40" s="78">
        <f t="shared" si="33"/>
        <v>9.5795125169588324</v>
      </c>
      <c r="AQ40" s="78">
        <f t="shared" si="34"/>
        <v>0.77887358084947911</v>
      </c>
      <c r="AR40" s="78">
        <f t="shared" si="11"/>
        <v>12.945287185079504</v>
      </c>
      <c r="AS40" s="78">
        <f t="shared" si="35"/>
        <v>28.479631807174911</v>
      </c>
      <c r="AT40" s="78">
        <f t="shared" si="12"/>
        <v>27.058213367982059</v>
      </c>
      <c r="AU40" s="78">
        <f t="shared" si="36"/>
        <v>59.528069409560537</v>
      </c>
      <c r="AV40" s="78">
        <f t="shared" si="37"/>
        <v>17.858420822868162</v>
      </c>
      <c r="AW40" s="79">
        <f t="shared" si="13"/>
        <v>3189.4905030691198</v>
      </c>
      <c r="AX40" s="79">
        <f t="shared" si="14"/>
        <v>31894.905030691196</v>
      </c>
      <c r="AY40" s="30"/>
      <c r="AZ40" s="1"/>
      <c r="BA40" s="55"/>
      <c r="BB40" s="64"/>
    </row>
    <row r="41" spans="1:56" x14ac:dyDescent="0.2">
      <c r="A41" s="47" t="s">
        <v>196</v>
      </c>
      <c r="B41" s="47"/>
      <c r="C41" s="48">
        <v>10</v>
      </c>
      <c r="D41" s="48">
        <v>37.1</v>
      </c>
      <c r="E41" s="48">
        <v>76.8</v>
      </c>
      <c r="F41" s="48">
        <v>3.5</v>
      </c>
      <c r="G41" s="48">
        <v>7.4</v>
      </c>
      <c r="H41" s="80">
        <f>'Fiber_Ash Inputs'!V14</f>
        <v>35</v>
      </c>
      <c r="I41" s="80">
        <f>'Fiber_Ash Inputs'!W14</f>
        <v>64.2</v>
      </c>
      <c r="J41" s="80">
        <f>'Fiber_Ash Inputs'!X14</f>
        <v>7.9</v>
      </c>
      <c r="K41" s="80">
        <f>'Fiber_Ash Inputs'!U14</f>
        <v>3.8</v>
      </c>
      <c r="L41" s="76">
        <f t="shared" si="15"/>
        <v>24.35079535546226</v>
      </c>
      <c r="M41" s="76">
        <f t="shared" si="16"/>
        <v>94.616843393682686</v>
      </c>
      <c r="N41" s="76">
        <f t="shared" si="17"/>
        <v>22.571428571428573</v>
      </c>
      <c r="O41" s="76">
        <f t="shared" si="18"/>
        <v>22.571428571428573</v>
      </c>
      <c r="P41" s="76">
        <f>(100*((LN((100-O41)-I41)-4.6052)/-'Fiber_Ash Inputs'!$D$17))*'Fiber_Ash Inputs'!$C$17</f>
        <v>7.4919296570488143</v>
      </c>
      <c r="Q41" s="76">
        <f t="shared" si="19"/>
        <v>58.800450409575511</v>
      </c>
      <c r="R41" s="76">
        <f>IF('Fiber_Ash Inputs'!$B$11=30,MILK2024_Imperial!I41,IF('Fiber_Ash Inputs'!$B$11=48,MILK2024_Imperial!I41*0.926))</f>
        <v>64.2</v>
      </c>
      <c r="S41" s="76">
        <f t="shared" si="20"/>
        <v>5.6980000000000004</v>
      </c>
      <c r="T41" s="76">
        <f t="shared" si="21"/>
        <v>1.7094</v>
      </c>
      <c r="U41" s="46">
        <f t="shared" si="22"/>
        <v>2.5</v>
      </c>
      <c r="V41" s="77">
        <f t="shared" si="23"/>
        <v>14.200000000000001</v>
      </c>
      <c r="W41" s="76">
        <f>((G41*0.3+MILK2024_Imperial!$J$22*0.7)/100)*MILK2024_Imperial!AT41</f>
        <v>4.5939417492019379</v>
      </c>
      <c r="X41" s="76">
        <f>((S41*0.3+MILK2024_Imperial!$L$22*0.7)/100)*MILK2024_Imperial!AT41</f>
        <v>2.8334907020838802</v>
      </c>
      <c r="Y41" s="76">
        <f>((T41*0.3+MILK2024_Imperial!$M$22*0.7)/100)*MILK2024_Imperial!AT41</f>
        <v>1.4324079716332112</v>
      </c>
      <c r="Z41" s="76">
        <f t="shared" si="24"/>
        <v>3.4561652294508405</v>
      </c>
      <c r="AA41" s="76">
        <f t="shared" si="25"/>
        <v>1.0368495688352521</v>
      </c>
      <c r="AB41" s="76">
        <f>AA41+MILK2024_Imperial!$U$32</f>
        <v>3.5038738618094074</v>
      </c>
      <c r="AC41" s="76">
        <f>($AC$10*0.2)/(MILK2024_Imperial!AT41)</f>
        <v>2.1912938366518557</v>
      </c>
      <c r="AD41" s="76">
        <f t="shared" si="26"/>
        <v>15.494205182771083</v>
      </c>
      <c r="AE41" s="76">
        <f t="shared" si="27"/>
        <v>3.2667507923496677</v>
      </c>
      <c r="AF41" s="46">
        <f>(AC41*MILK2024_Imperial!AT41)/1000</f>
        <v>5.9999999999999991E-2</v>
      </c>
      <c r="AG41" s="76">
        <f>(AD41*MILK2024_Imperial!AT41)/1000</f>
        <v>0.4242481293091705</v>
      </c>
      <c r="AH41" s="76">
        <f t="shared" si="28"/>
        <v>0.82318208433201634</v>
      </c>
      <c r="AI41" s="50">
        <f t="shared" si="29"/>
        <v>341.06408710526733</v>
      </c>
      <c r="AJ41" s="76">
        <f>(0.0146*AI41)/MILK2024_Imperial!AT41</f>
        <v>0.18186043044775224</v>
      </c>
      <c r="AK41" s="76">
        <f>(0.294*MILK2024_Imperial!AT41-0.347*(U41*0.3+MILK2024_Imperial!$U$17*0.7)+0.0409*(H41*0.3+$F$22*0.7))/MILK2024_Imperial!AT41</f>
        <v>0.28271932180534454</v>
      </c>
      <c r="AL41" s="76">
        <f t="shared" si="30"/>
        <v>2.8021710400965709</v>
      </c>
      <c r="AM41" s="76">
        <f t="shared" si="31"/>
        <v>1.8494328864637368</v>
      </c>
      <c r="AN41" s="76">
        <f t="shared" si="10"/>
        <v>33.509476701751915</v>
      </c>
      <c r="AO41" s="76">
        <f t="shared" si="32"/>
        <v>0.29591520977294</v>
      </c>
      <c r="AP41" s="78">
        <f t="shared" si="33"/>
        <v>9.915963827580363</v>
      </c>
      <c r="AQ41" s="78">
        <f t="shared" si="34"/>
        <v>0.79672231539411853</v>
      </c>
      <c r="AR41" s="78">
        <f t="shared" si="11"/>
        <v>13.399951118351842</v>
      </c>
      <c r="AS41" s="78">
        <f t="shared" si="35"/>
        <v>29.479892460374053</v>
      </c>
      <c r="AT41" s="78">
        <f t="shared" si="12"/>
        <v>27.381083721604316</v>
      </c>
      <c r="AU41" s="78">
        <f t="shared" si="36"/>
        <v>60.238384187529498</v>
      </c>
      <c r="AV41" s="78">
        <f t="shared" si="37"/>
        <v>18.071515256258849</v>
      </c>
      <c r="AW41" s="79">
        <f t="shared" si="13"/>
        <v>3262.5811441200594</v>
      </c>
      <c r="AX41" s="79">
        <f t="shared" si="14"/>
        <v>32625.811441200596</v>
      </c>
      <c r="AY41" s="30"/>
      <c r="AZ41" s="1"/>
      <c r="BA41" s="55"/>
      <c r="BB41" s="64"/>
    </row>
    <row r="42" spans="1:56" x14ac:dyDescent="0.2">
      <c r="A42" s="47" t="s">
        <v>197</v>
      </c>
      <c r="B42" s="47"/>
      <c r="C42" s="48">
        <v>10</v>
      </c>
      <c r="D42" s="48">
        <v>37.1</v>
      </c>
      <c r="E42" s="48">
        <v>76.8</v>
      </c>
      <c r="F42" s="48">
        <v>3.5</v>
      </c>
      <c r="G42" s="48">
        <v>7.4</v>
      </c>
      <c r="H42" s="80">
        <f>'Fiber_Ash Inputs'!V15</f>
        <v>33</v>
      </c>
      <c r="I42" s="80">
        <f>'Fiber_Ash Inputs'!W15</f>
        <v>64.2</v>
      </c>
      <c r="J42" s="80">
        <f>'Fiber_Ash Inputs'!X15</f>
        <v>7.9</v>
      </c>
      <c r="K42" s="80">
        <f>'Fiber_Ash Inputs'!U15</f>
        <v>3.8</v>
      </c>
      <c r="L42" s="76">
        <f t="shared" si="15"/>
        <v>24.35079535546226</v>
      </c>
      <c r="M42" s="76">
        <f t="shared" si="16"/>
        <v>94.616843393682686</v>
      </c>
      <c r="N42" s="76">
        <f t="shared" si="17"/>
        <v>23.939393939393938</v>
      </c>
      <c r="O42" s="76">
        <f t="shared" si="18"/>
        <v>23.939393939393938</v>
      </c>
      <c r="P42" s="76">
        <f>(100*((LN((100-O42)-I42)-4.6052)/-'Fiber_Ash Inputs'!$D$17))*'Fiber_Ash Inputs'!$C$17</f>
        <v>7.8962129870537208</v>
      </c>
      <c r="Q42" s="76">
        <f t="shared" si="19"/>
        <v>58.692014861185669</v>
      </c>
      <c r="R42" s="76">
        <f>IF('Fiber_Ash Inputs'!$B$11=30,MILK2024_Imperial!I42,IF('Fiber_Ash Inputs'!$B$11=48,MILK2024_Imperial!I42*0.926))</f>
        <v>64.2</v>
      </c>
      <c r="S42" s="76">
        <f t="shared" si="20"/>
        <v>5.6980000000000004</v>
      </c>
      <c r="T42" s="76">
        <f t="shared" si="21"/>
        <v>1.7094</v>
      </c>
      <c r="U42" s="46">
        <f t="shared" si="22"/>
        <v>2.5</v>
      </c>
      <c r="V42" s="77">
        <f t="shared" si="23"/>
        <v>16.200000000000003</v>
      </c>
      <c r="W42" s="76">
        <f>((G42*0.3+MILK2024_Imperial!$J$22*0.7)/100)*MILK2024_Imperial!AT42</f>
        <v>4.6220642054758168</v>
      </c>
      <c r="X42" s="76">
        <f>((S42*0.3+MILK2024_Imperial!$L$22*0.7)/100)*MILK2024_Imperial!AT42</f>
        <v>2.8508363113062085</v>
      </c>
      <c r="Y42" s="76">
        <f>((T42*0.3+MILK2024_Imperial!$M$22*0.7)/100)*MILK2024_Imperial!AT42</f>
        <v>1.4411766571646742</v>
      </c>
      <c r="Z42" s="76">
        <f t="shared" si="24"/>
        <v>3.4780699344061135</v>
      </c>
      <c r="AA42" s="76">
        <f t="shared" si="25"/>
        <v>1.0434209803218339</v>
      </c>
      <c r="AB42" s="76">
        <f>AA42+MILK2024_Imperial!$U$32</f>
        <v>3.5104452732959892</v>
      </c>
      <c r="AC42" s="76">
        <f>($AC$10*0.2)/(MILK2024_Imperial!AT42)</f>
        <v>2.1779611432134014</v>
      </c>
      <c r="AD42" s="76">
        <f t="shared" si="26"/>
        <v>15.413805182771084</v>
      </c>
      <c r="AE42" s="76">
        <f t="shared" si="27"/>
        <v>3.2738517935541771</v>
      </c>
      <c r="AF42" s="46">
        <f>(AC42*MILK2024_Imperial!AT42)/1000</f>
        <v>5.9999999999999991E-2</v>
      </c>
      <c r="AG42" s="76">
        <f>(AD42*MILK2024_Imperial!AT42)/1000</f>
        <v>0.42463030795937773</v>
      </c>
      <c r="AH42" s="76">
        <f t="shared" si="28"/>
        <v>0.82374075548341619</v>
      </c>
      <c r="AI42" s="50">
        <f t="shared" si="29"/>
        <v>345.18122568184083</v>
      </c>
      <c r="AJ42" s="76">
        <f>(0.0146*AI42)/MILK2024_Imperial!AT42</f>
        <v>0.18293588224611082</v>
      </c>
      <c r="AK42" s="76">
        <f>(0.294*MILK2024_Imperial!AT42-0.347*(U42*0.3+MILK2024_Imperial!$U$17*0.7)+0.0409*(H42*0.3+$F$22*0.7))/MILK2024_Imperial!AT42</f>
        <v>0.28189717178008455</v>
      </c>
      <c r="AL42" s="76">
        <f t="shared" si="30"/>
        <v>2.8090187395279815</v>
      </c>
      <c r="AM42" s="76">
        <f t="shared" si="31"/>
        <v>1.853952368088468</v>
      </c>
      <c r="AN42" s="76">
        <f t="shared" si="10"/>
        <v>33.943979180908109</v>
      </c>
      <c r="AO42" s="76">
        <f t="shared" si="32"/>
        <v>0.2972332280064735</v>
      </c>
      <c r="AP42" s="78">
        <f t="shared" si="33"/>
        <v>10.089278503325849</v>
      </c>
      <c r="AQ42" s="78">
        <f t="shared" si="34"/>
        <v>0.80571540658773877</v>
      </c>
      <c r="AR42" s="78">
        <f t="shared" si="11"/>
        <v>13.634160139629525</v>
      </c>
      <c r="AS42" s="78">
        <f t="shared" si="35"/>
        <v>29.995152307184959</v>
      </c>
      <c r="AT42" s="78">
        <f t="shared" si="12"/>
        <v>27.548700851235097</v>
      </c>
      <c r="AU42" s="78">
        <f t="shared" si="36"/>
        <v>60.607141872717214</v>
      </c>
      <c r="AV42" s="78">
        <f t="shared" si="37"/>
        <v>18.182142561815162</v>
      </c>
      <c r="AW42" s="79">
        <f t="shared" si="13"/>
        <v>3299.4078893846795</v>
      </c>
      <c r="AX42" s="79">
        <f t="shared" si="14"/>
        <v>32994.078893846796</v>
      </c>
      <c r="AY42" s="30"/>
      <c r="AZ42" s="1"/>
      <c r="BA42" s="55"/>
      <c r="BB42" s="64"/>
    </row>
    <row r="43" spans="1:56" x14ac:dyDescent="0.2">
      <c r="A43" s="47" t="s">
        <v>198</v>
      </c>
      <c r="B43" s="47"/>
      <c r="C43" s="48">
        <v>10</v>
      </c>
      <c r="D43" s="48">
        <v>37.1</v>
      </c>
      <c r="E43" s="48">
        <v>76.8</v>
      </c>
      <c r="F43" s="48">
        <v>3.5</v>
      </c>
      <c r="G43" s="48">
        <v>7.4</v>
      </c>
      <c r="H43" s="80">
        <f>'Fiber_Ash Inputs'!V16</f>
        <v>35.6</v>
      </c>
      <c r="I43" s="80">
        <f>'Fiber_Ash Inputs'!W16</f>
        <v>70</v>
      </c>
      <c r="J43" s="80">
        <f>'Fiber_Ash Inputs'!X16</f>
        <v>7.9</v>
      </c>
      <c r="K43" s="80">
        <f>'Fiber_Ash Inputs'!U16</f>
        <v>3.8</v>
      </c>
      <c r="L43" s="76">
        <f t="shared" si="15"/>
        <v>24.35079535546226</v>
      </c>
      <c r="M43" s="76">
        <f t="shared" si="16"/>
        <v>94.616843393682686</v>
      </c>
      <c r="N43" s="76">
        <f t="shared" si="17"/>
        <v>22.191011235955056</v>
      </c>
      <c r="O43" s="76">
        <f t="shared" si="18"/>
        <v>22.191011235955056</v>
      </c>
      <c r="P43" s="76">
        <f>(100*((LN((100-O43)-I43)-4.6052)/-'Fiber_Ash Inputs'!$D$17))*'Fiber_Ash Inputs'!$C$17</f>
        <v>9.444164904323511</v>
      </c>
      <c r="Q43" s="76">
        <f t="shared" si="19"/>
        <v>63.129850252552018</v>
      </c>
      <c r="R43" s="76">
        <f>IF('Fiber_Ash Inputs'!$B$11=30,MILK2024_Imperial!I43,IF('Fiber_Ash Inputs'!$B$11=48,MILK2024_Imperial!I43*0.926))</f>
        <v>70</v>
      </c>
      <c r="S43" s="76">
        <f t="shared" si="20"/>
        <v>5.6980000000000004</v>
      </c>
      <c r="T43" s="76">
        <f t="shared" si="21"/>
        <v>1.7094</v>
      </c>
      <c r="U43" s="46">
        <f t="shared" si="22"/>
        <v>2.5</v>
      </c>
      <c r="V43" s="77">
        <f t="shared" si="23"/>
        <v>13.6</v>
      </c>
      <c r="W43" s="76">
        <f>((G43*0.3+MILK2024_Imperial!$J$22*0.7)/100)*MILK2024_Imperial!AT43</f>
        <v>4.6096557872493822</v>
      </c>
      <c r="X43" s="76">
        <f>((S43*0.3+MILK2024_Imperial!$L$22*0.7)/100)*MILK2024_Imperial!AT43</f>
        <v>2.8431829409346143</v>
      </c>
      <c r="Y43" s="76">
        <f>((T43*0.3+MILK2024_Imperial!$M$22*0.7)/100)*MILK2024_Imperial!AT43</f>
        <v>1.4373076666216418</v>
      </c>
      <c r="Z43" s="76">
        <f t="shared" si="24"/>
        <v>3.5138761294062379</v>
      </c>
      <c r="AA43" s="76">
        <f t="shared" si="25"/>
        <v>1.0541628388218713</v>
      </c>
      <c r="AB43" s="76">
        <f>AA43+MILK2024_Imperial!$U$32</f>
        <v>3.5211871317960268</v>
      </c>
      <c r="AC43" s="76">
        <f>($AC$10*0.2)/(MILK2024_Imperial!AT43)</f>
        <v>2.1838238483682351</v>
      </c>
      <c r="AD43" s="76">
        <f t="shared" si="26"/>
        <v>15.518325182771083</v>
      </c>
      <c r="AE43" s="76">
        <f t="shared" si="27"/>
        <v>3.2839699897700898</v>
      </c>
      <c r="AF43" s="46">
        <f>(AC43*MILK2024_Imperial!AT43)/1000</f>
        <v>5.9999999999999991E-2</v>
      </c>
      <c r="AG43" s="76">
        <f>(AD43*MILK2024_Imperial!AT43)/1000</f>
        <v>0.42636200335571361</v>
      </c>
      <c r="AH43" s="76">
        <f t="shared" si="28"/>
        <v>0.82308284594597225</v>
      </c>
      <c r="AI43" s="50">
        <f t="shared" si="29"/>
        <v>343.06057667208682</v>
      </c>
      <c r="AJ43" s="76">
        <f>(0.0146*AI43)/MILK2024_Imperial!AT43</f>
        <v>0.1823014080677226</v>
      </c>
      <c r="AK43" s="76">
        <f>(0.294*MILK2024_Imperial!AT43-0.347*(U43*0.3+MILK2024_Imperial!$U$17*0.7)+0.0409*(H43*0.3+$F$22*0.7))/MILK2024_Imperial!AT43</f>
        <v>0.28302573214188742</v>
      </c>
      <c r="AL43" s="76">
        <f t="shared" si="30"/>
        <v>2.8186428495604798</v>
      </c>
      <c r="AM43" s="76">
        <f t="shared" si="31"/>
        <v>1.8603042807099168</v>
      </c>
      <c r="AN43" s="76">
        <f t="shared" si="10"/>
        <v>33.98138287366757</v>
      </c>
      <c r="AO43" s="76">
        <f t="shared" si="32"/>
        <v>0.29937711327605077</v>
      </c>
      <c r="AP43" s="78">
        <f t="shared" si="33"/>
        <v>10.173248309846828</v>
      </c>
      <c r="AQ43" s="78">
        <f t="shared" si="34"/>
        <v>0.81460801672856276</v>
      </c>
      <c r="AR43" s="78">
        <f t="shared" si="11"/>
        <v>13.747632851144363</v>
      </c>
      <c r="AS43" s="78">
        <f t="shared" si="35"/>
        <v>30.2447922725176</v>
      </c>
      <c r="AT43" s="78">
        <f t="shared" si="12"/>
        <v>27.474743461947408</v>
      </c>
      <c r="AU43" s="78">
        <f t="shared" si="36"/>
        <v>60.444435616284302</v>
      </c>
      <c r="AV43" s="78">
        <f t="shared" si="37"/>
        <v>18.133330684885291</v>
      </c>
      <c r="AW43" s="79">
        <f t="shared" si="13"/>
        <v>3335.8231643266281</v>
      </c>
      <c r="AX43" s="79">
        <f t="shared" si="14"/>
        <v>33358.231643266277</v>
      </c>
      <c r="AY43" s="30"/>
      <c r="AZ43" s="1"/>
      <c r="BA43" s="55"/>
      <c r="BB43" s="64"/>
    </row>
    <row r="44" spans="1:56" x14ac:dyDescent="0.2">
      <c r="A44" s="47" t="s">
        <v>199</v>
      </c>
      <c r="B44" s="47"/>
      <c r="C44" s="48">
        <v>10</v>
      </c>
      <c r="D44" s="48">
        <v>37.1</v>
      </c>
      <c r="E44" s="48">
        <v>76.8</v>
      </c>
      <c r="F44" s="48">
        <v>3.5</v>
      </c>
      <c r="G44" s="48">
        <v>7.4</v>
      </c>
      <c r="H44" s="80">
        <f>'Fiber_Ash Inputs'!V17</f>
        <v>35.6</v>
      </c>
      <c r="I44" s="80">
        <f>'Fiber_Ash Inputs'!W17</f>
        <v>75</v>
      </c>
      <c r="J44" s="80">
        <f>'Fiber_Ash Inputs'!X17</f>
        <v>7.9</v>
      </c>
      <c r="K44" s="80">
        <f>'Fiber_Ash Inputs'!U17</f>
        <v>3.8</v>
      </c>
      <c r="L44" s="76">
        <f t="shared" si="15"/>
        <v>24.35079535546226</v>
      </c>
      <c r="M44" s="76">
        <f t="shared" si="16"/>
        <v>94.616843393682686</v>
      </c>
      <c r="N44" s="76">
        <f t="shared" si="17"/>
        <v>22.191011235955056</v>
      </c>
      <c r="O44" s="76">
        <f t="shared" si="18"/>
        <v>22.191011235955056</v>
      </c>
      <c r="P44" s="76">
        <f>(100*((LN((100-O44)-I44)-4.6052)/-'Fiber_Ash Inputs'!$D$17))*'Fiber_Ash Inputs'!$C$17</f>
        <v>13.231020192110721</v>
      </c>
      <c r="Q44" s="76">
        <f t="shared" si="19"/>
        <v>68.256292771541993</v>
      </c>
      <c r="R44" s="76">
        <f>IF('Fiber_Ash Inputs'!$B$11=30,MILK2024_Imperial!I44,IF('Fiber_Ash Inputs'!$B$11=48,MILK2024_Imperial!I44*0.926))</f>
        <v>75</v>
      </c>
      <c r="S44" s="76">
        <f t="shared" si="20"/>
        <v>5.6980000000000004</v>
      </c>
      <c r="T44" s="76">
        <f t="shared" si="21"/>
        <v>1.7094</v>
      </c>
      <c r="U44" s="46">
        <f t="shared" si="22"/>
        <v>2.5</v>
      </c>
      <c r="V44" s="77">
        <f t="shared" si="23"/>
        <v>13.6</v>
      </c>
      <c r="W44" s="76">
        <f>((G44*0.3+MILK2024_Imperial!$J$22*0.7)/100)*MILK2024_Imperial!AT44</f>
        <v>4.6303551079817993</v>
      </c>
      <c r="X44" s="76">
        <f>((S44*0.3+MILK2024_Imperial!$L$22*0.7)/100)*MILK2024_Imperial!AT44</f>
        <v>2.8559500450984721</v>
      </c>
      <c r="Y44" s="76">
        <f>((T44*0.3+MILK2024_Imperial!$M$22*0.7)/100)*MILK2024_Imperial!AT44</f>
        <v>1.4437617911280436</v>
      </c>
      <c r="Z44" s="76">
        <f t="shared" si="24"/>
        <v>3.590526697950176</v>
      </c>
      <c r="AA44" s="76">
        <f t="shared" si="25"/>
        <v>1.0771580093850528</v>
      </c>
      <c r="AB44" s="76">
        <f>AA44+MILK2024_Imperial!$U$32</f>
        <v>3.5441823023592081</v>
      </c>
      <c r="AC44" s="76">
        <f>($AC$10*0.2)/(MILK2024_Imperial!AT44)</f>
        <v>2.1740613854023705</v>
      </c>
      <c r="AD44" s="76">
        <f t="shared" si="26"/>
        <v>15.518325182771083</v>
      </c>
      <c r="AE44" s="76">
        <f t="shared" si="27"/>
        <v>3.3070203182490281</v>
      </c>
      <c r="AF44" s="46">
        <f>(AC44*MILK2024_Imperial!AT44)/1000</f>
        <v>0.06</v>
      </c>
      <c r="AG44" s="76">
        <f>(AD44*MILK2024_Imperial!AT44)/1000</f>
        <v>0.42827655061539999</v>
      </c>
      <c r="AH44" s="76">
        <f t="shared" si="28"/>
        <v>0.82314103275599093</v>
      </c>
      <c r="AI44" s="50">
        <f t="shared" si="29"/>
        <v>345.82964569777852</v>
      </c>
      <c r="AJ44" s="76">
        <f>(0.0146*AI44)/MILK2024_Imperial!AT44</f>
        <v>0.18295135380213801</v>
      </c>
      <c r="AK44" s="76">
        <f>(0.294*MILK2024_Imperial!AT44-0.347*(U44*0.3+MILK2024_Imperial!$U$17*0.7)+0.0409*(H44*0.3+$F$22*0.7))/MILK2024_Imperial!AT44</f>
        <v>0.28307479099048566</v>
      </c>
      <c r="AL44" s="76">
        <f t="shared" si="30"/>
        <v>2.8409941734564046</v>
      </c>
      <c r="AM44" s="76">
        <f t="shared" si="31"/>
        <v>1.8750561544812272</v>
      </c>
      <c r="AN44" s="76">
        <f t="shared" si="10"/>
        <v>34.618018719375655</v>
      </c>
      <c r="AO44" s="76">
        <f t="shared" si="32"/>
        <v>0.30392285652688789</v>
      </c>
      <c r="AP44" s="78">
        <f t="shared" si="33"/>
        <v>10.521207136493926</v>
      </c>
      <c r="AQ44" s="78">
        <f t="shared" si="34"/>
        <v>0.83870417265328079</v>
      </c>
      <c r="AR44" s="78">
        <f t="shared" si="11"/>
        <v>14.217847481748549</v>
      </c>
      <c r="AS44" s="78">
        <f t="shared" si="35"/>
        <v>31.279264459846811</v>
      </c>
      <c r="AT44" s="78">
        <f t="shared" si="12"/>
        <v>27.598116779437362</v>
      </c>
      <c r="AU44" s="78">
        <f t="shared" si="36"/>
        <v>60.715856914762199</v>
      </c>
      <c r="AV44" s="78">
        <f t="shared" si="37"/>
        <v>18.214757074428658</v>
      </c>
      <c r="AW44" s="79">
        <f t="shared" si="13"/>
        <v>3434.4970215122066</v>
      </c>
      <c r="AX44" s="79">
        <f t="shared" si="14"/>
        <v>34344.97021512207</v>
      </c>
      <c r="AY44" s="30"/>
      <c r="AZ44" s="1"/>
      <c r="BA44" s="55"/>
      <c r="BB44" s="64"/>
    </row>
    <row r="45" spans="1:56" x14ac:dyDescent="0.2">
      <c r="A45" s="47" t="s">
        <v>200</v>
      </c>
      <c r="B45" s="47"/>
      <c r="C45" s="48">
        <v>10</v>
      </c>
      <c r="D45" s="48">
        <v>37.1</v>
      </c>
      <c r="E45" s="48">
        <v>76.8</v>
      </c>
      <c r="F45" s="48">
        <v>3.5</v>
      </c>
      <c r="G45" s="48">
        <v>7.4</v>
      </c>
      <c r="H45" s="80">
        <f>'Fiber_Ash Inputs'!V18</f>
        <v>35.6</v>
      </c>
      <c r="I45" s="80">
        <f>'Fiber_Ash Inputs'!W18</f>
        <v>60</v>
      </c>
      <c r="J45" s="80">
        <f>'Fiber_Ash Inputs'!X18</f>
        <v>7.9</v>
      </c>
      <c r="K45" s="80">
        <f>'Fiber_Ash Inputs'!U18</f>
        <v>3.8</v>
      </c>
      <c r="L45" s="76">
        <f t="shared" si="15"/>
        <v>24.35079535546226</v>
      </c>
      <c r="M45" s="76">
        <f t="shared" si="16"/>
        <v>94.616843393682686</v>
      </c>
      <c r="N45" s="76">
        <f t="shared" si="17"/>
        <v>22.191011235955056</v>
      </c>
      <c r="O45" s="76">
        <f t="shared" si="18"/>
        <v>22.191011235955056</v>
      </c>
      <c r="P45" s="76">
        <f>(100*((LN((100-O45)-I45)-4.6052)/-'Fiber_Ash Inputs'!$D$17))*'Fiber_Ash Inputs'!$C$17</f>
        <v>6.3907284571139211</v>
      </c>
      <c r="Q45" s="76">
        <f t="shared" si="19"/>
        <v>56.096499147808515</v>
      </c>
      <c r="R45" s="76">
        <f>IF('Fiber_Ash Inputs'!$B$11=30,MILK2024_Imperial!I45,IF('Fiber_Ash Inputs'!$B$11=48,MILK2024_Imperial!I45*0.926))</f>
        <v>60</v>
      </c>
      <c r="S45" s="76">
        <f t="shared" si="20"/>
        <v>5.6980000000000004</v>
      </c>
      <c r="T45" s="76">
        <f t="shared" si="21"/>
        <v>1.7094</v>
      </c>
      <c r="U45" s="46">
        <f t="shared" si="22"/>
        <v>2.5</v>
      </c>
      <c r="V45" s="77">
        <f t="shared" si="23"/>
        <v>13.6</v>
      </c>
      <c r="W45" s="76">
        <f>((G45*0.3+MILK2024_Imperial!$J$22*0.7)/100)*MILK2024_Imperial!AT45</f>
        <v>4.5682571457845462</v>
      </c>
      <c r="X45" s="76">
        <f>((S45*0.3+MILK2024_Imperial!$L$22*0.7)/100)*MILK2024_Imperial!AT45</f>
        <v>2.817648732606898</v>
      </c>
      <c r="Y45" s="76">
        <f>((T45*0.3+MILK2024_Imperial!$M$22*0.7)/100)*MILK2024_Imperial!AT45</f>
        <v>1.4243994176088377</v>
      </c>
      <c r="Z45" s="76">
        <f t="shared" si="24"/>
        <v>3.4087134636881129</v>
      </c>
      <c r="AA45" s="76">
        <f t="shared" si="25"/>
        <v>1.0226140391064338</v>
      </c>
      <c r="AB45" s="76">
        <f>AA45+MILK2024_Imperial!$U$32</f>
        <v>3.489638332080589</v>
      </c>
      <c r="AC45" s="76">
        <f>($AC$10*0.2)/(MILK2024_Imperial!AT45)</f>
        <v>2.2036141836396155</v>
      </c>
      <c r="AD45" s="76">
        <f t="shared" si="26"/>
        <v>15.518325182771083</v>
      </c>
      <c r="AE45" s="76">
        <f t="shared" si="27"/>
        <v>3.2523093746603688</v>
      </c>
      <c r="AF45" s="46">
        <f>(AC45*MILK2024_Imperial!AT45)/1000</f>
        <v>0.06</v>
      </c>
      <c r="AG45" s="76">
        <f>(AD45*MILK2024_Imperial!AT45)/1000</f>
        <v>0.4225329088363407</v>
      </c>
      <c r="AH45" s="76">
        <f t="shared" si="28"/>
        <v>0.82296489041746812</v>
      </c>
      <c r="AI45" s="50">
        <f t="shared" si="29"/>
        <v>337.52243862070316</v>
      </c>
      <c r="AJ45" s="76">
        <f>(0.0146*AI45)/MILK2024_Imperial!AT45</f>
        <v>0.18098384670669515</v>
      </c>
      <c r="AK45" s="76">
        <f>(0.294*MILK2024_Imperial!AT45-0.347*(U45*0.3+MILK2024_Imperial!$U$17*0.7)+0.0409*(H45*0.3+$F$22*0.7))/MILK2024_Imperial!AT45</f>
        <v>0.28292628069554837</v>
      </c>
      <c r="AL45" s="76">
        <f t="shared" si="30"/>
        <v>2.7883992472581252</v>
      </c>
      <c r="AM45" s="76">
        <f t="shared" si="31"/>
        <v>1.8403435031903628</v>
      </c>
      <c r="AN45" s="76">
        <f t="shared" si="10"/>
        <v>32.978867065397431</v>
      </c>
      <c r="AO45" s="76">
        <f t="shared" si="32"/>
        <v>0.29304298663430023</v>
      </c>
      <c r="AP45" s="78">
        <f t="shared" si="33"/>
        <v>9.6642257006596228</v>
      </c>
      <c r="AQ45" s="78">
        <f t="shared" si="34"/>
        <v>0.78086157702182857</v>
      </c>
      <c r="AR45" s="78">
        <f t="shared" si="11"/>
        <v>13.059764460350841</v>
      </c>
      <c r="AS45" s="78">
        <f t="shared" si="35"/>
        <v>28.731481812771854</v>
      </c>
      <c r="AT45" s="78">
        <f t="shared" si="12"/>
        <v>27.227996826967487</v>
      </c>
      <c r="AU45" s="78">
        <f t="shared" si="36"/>
        <v>59.90159301932848</v>
      </c>
      <c r="AV45" s="78">
        <f t="shared" si="37"/>
        <v>17.970477905798543</v>
      </c>
      <c r="AW45" s="79">
        <f t="shared" si="13"/>
        <v>3197.6313555357424</v>
      </c>
      <c r="AX45" s="79">
        <f t="shared" si="14"/>
        <v>31976.313555357425</v>
      </c>
      <c r="AY45" s="30"/>
      <c r="AZ45" s="1"/>
      <c r="BA45" s="55"/>
      <c r="BB45" s="64"/>
    </row>
    <row r="46" spans="1:56" x14ac:dyDescent="0.2">
      <c r="A46" s="47" t="s">
        <v>201</v>
      </c>
      <c r="B46" s="47"/>
      <c r="C46" s="48">
        <v>10</v>
      </c>
      <c r="D46" s="48">
        <v>37.1</v>
      </c>
      <c r="E46" s="48">
        <v>76.8</v>
      </c>
      <c r="F46" s="48">
        <v>3.5</v>
      </c>
      <c r="G46" s="48">
        <v>7.4</v>
      </c>
      <c r="H46" s="80">
        <f>'Fiber_Ash Inputs'!V19</f>
        <v>35.6</v>
      </c>
      <c r="I46" s="80">
        <f>'Fiber_Ash Inputs'!W19</f>
        <v>55</v>
      </c>
      <c r="J46" s="80">
        <f>'Fiber_Ash Inputs'!X19</f>
        <v>7.9</v>
      </c>
      <c r="K46" s="80">
        <f>'Fiber_Ash Inputs'!U19</f>
        <v>3.8</v>
      </c>
      <c r="L46" s="76">
        <f t="shared" si="15"/>
        <v>24.35079535546226</v>
      </c>
      <c r="M46" s="76">
        <f t="shared" si="16"/>
        <v>94.616843393682686</v>
      </c>
      <c r="N46" s="76">
        <f t="shared" si="17"/>
        <v>22.191011235955056</v>
      </c>
      <c r="O46" s="76">
        <f t="shared" si="18"/>
        <v>22.191011235955056</v>
      </c>
      <c r="P46" s="76">
        <f>(100*((LN((100-O46)-I46)-4.6052)/-'Fiber_Ash Inputs'!$D$17))*'Fiber_Ash Inputs'!$C$17</f>
        <v>5.474241843319656</v>
      </c>
      <c r="Q46" s="76">
        <f t="shared" si="19"/>
        <v>53.036780359446468</v>
      </c>
      <c r="R46" s="76">
        <f>IF('Fiber_Ash Inputs'!$B$11=30,MILK2024_Imperial!I46,IF('Fiber_Ash Inputs'!$B$11=48,MILK2024_Imperial!I46*0.926))</f>
        <v>55</v>
      </c>
      <c r="S46" s="76">
        <f t="shared" si="20"/>
        <v>5.6980000000000004</v>
      </c>
      <c r="T46" s="76">
        <f t="shared" si="21"/>
        <v>1.7094</v>
      </c>
      <c r="U46" s="46">
        <f t="shared" si="22"/>
        <v>2.5</v>
      </c>
      <c r="V46" s="77">
        <f t="shared" si="23"/>
        <v>13.6</v>
      </c>
      <c r="W46" s="76">
        <f>((G46*0.3+MILK2024_Imperial!$J$22*0.7)/100)*MILK2024_Imperial!AT46</f>
        <v>4.5475578250521291</v>
      </c>
      <c r="X46" s="76">
        <f>((S46*0.3+MILK2024_Imperial!$L$22*0.7)/100)*MILK2024_Imperial!AT46</f>
        <v>2.8048816284430402</v>
      </c>
      <c r="Y46" s="76">
        <f>((T46*0.3+MILK2024_Imperial!$M$22*0.7)/100)*MILK2024_Imperial!AT46</f>
        <v>1.4179452931024357</v>
      </c>
      <c r="Z46" s="76">
        <f t="shared" si="24"/>
        <v>3.3629645483645239</v>
      </c>
      <c r="AA46" s="76">
        <f t="shared" si="25"/>
        <v>1.0088893645093571</v>
      </c>
      <c r="AB46" s="76">
        <f>AA46+MILK2024_Imperial!$U$32</f>
        <v>3.4759136574835123</v>
      </c>
      <c r="AC46" s="76">
        <f>($AC$10*0.2)/(MILK2024_Imperial!AT46)</f>
        <v>2.2136444720960657</v>
      </c>
      <c r="AD46" s="76">
        <f t="shared" si="26"/>
        <v>15.518325182771083</v>
      </c>
      <c r="AE46" s="76">
        <f t="shared" si="27"/>
        <v>3.238528028933513</v>
      </c>
      <c r="AF46" s="46">
        <f>(AC46*MILK2024_Imperial!AT46)/1000</f>
        <v>0.06</v>
      </c>
      <c r="AG46" s="76">
        <f>(AD46*MILK2024_Imperial!AT46)/1000</f>
        <v>0.42061836157665433</v>
      </c>
      <c r="AH46" s="76">
        <f t="shared" si="28"/>
        <v>0.82290510729809674</v>
      </c>
      <c r="AI46" s="50">
        <f t="shared" si="29"/>
        <v>334.75336959501146</v>
      </c>
      <c r="AJ46" s="76">
        <f>(0.0146*AI46)/MILK2024_Imperial!AT46</f>
        <v>0.18031607022241855</v>
      </c>
      <c r="AK46" s="76">
        <f>(0.294*MILK2024_Imperial!AT46-0.347*(U46*0.3+MILK2024_Imperial!$U$17*0.7)+0.0409*(H46*0.3+$F$22*0.7))/MILK2024_Imperial!AT46</f>
        <v>0.28287587595603725</v>
      </c>
      <c r="AL46" s="76">
        <f t="shared" si="30"/>
        <v>2.7753360827550573</v>
      </c>
      <c r="AM46" s="76">
        <f t="shared" si="31"/>
        <v>1.8317218146183378</v>
      </c>
      <c r="AN46" s="76">
        <f t="shared" si="10"/>
        <v>32.51813015932705</v>
      </c>
      <c r="AO46" s="76">
        <f t="shared" si="32"/>
        <v>0.29025156086292764</v>
      </c>
      <c r="AP46" s="78">
        <f t="shared" si="33"/>
        <v>9.4384380350885184</v>
      </c>
      <c r="AQ46" s="78">
        <f t="shared" si="34"/>
        <v>0.76608935999181493</v>
      </c>
      <c r="AR46" s="78">
        <f t="shared" si="11"/>
        <v>12.754645993362862</v>
      </c>
      <c r="AS46" s="78">
        <f t="shared" si="35"/>
        <v>28.060221185398298</v>
      </c>
      <c r="AT46" s="78">
        <f t="shared" si="12"/>
        <v>27.104623509477531</v>
      </c>
      <c r="AU46" s="78">
        <f t="shared" si="36"/>
        <v>59.630171720850569</v>
      </c>
      <c r="AV46" s="78">
        <f t="shared" si="37"/>
        <v>17.889051516255169</v>
      </c>
      <c r="AW46" s="79">
        <f t="shared" si="13"/>
        <v>3137.1390663055486</v>
      </c>
      <c r="AX46" s="79">
        <f t="shared" si="14"/>
        <v>31371.390663055485</v>
      </c>
      <c r="AY46" s="30"/>
      <c r="AZ46" s="1"/>
      <c r="BA46" s="55"/>
      <c r="BB46" s="64"/>
    </row>
    <row r="47" spans="1:56" x14ac:dyDescent="0.2">
      <c r="A47" s="47" t="s">
        <v>202</v>
      </c>
      <c r="B47" s="47"/>
      <c r="C47" s="48">
        <v>10</v>
      </c>
      <c r="D47" s="48">
        <v>39</v>
      </c>
      <c r="E47" s="48">
        <v>76.8</v>
      </c>
      <c r="F47" s="48">
        <v>3.5</v>
      </c>
      <c r="G47" s="48">
        <v>7.4</v>
      </c>
      <c r="H47" s="80">
        <f>'Fiber_Ash Inputs'!V20</f>
        <v>35.6</v>
      </c>
      <c r="I47" s="80">
        <f>'Fiber_Ash Inputs'!W20</f>
        <v>64.2</v>
      </c>
      <c r="J47" s="80">
        <f>'Fiber_Ash Inputs'!X20</f>
        <v>7.9</v>
      </c>
      <c r="K47" s="80">
        <f>'Fiber_Ash Inputs'!U20</f>
        <v>3.8</v>
      </c>
      <c r="L47" s="76">
        <f t="shared" si="15"/>
        <v>24.35079535546226</v>
      </c>
      <c r="M47" s="76">
        <f t="shared" si="16"/>
        <v>94.616843393682686</v>
      </c>
      <c r="N47" s="76">
        <f t="shared" si="17"/>
        <v>22.191011235955056</v>
      </c>
      <c r="O47" s="76">
        <f t="shared" si="18"/>
        <v>22.191011235955056</v>
      </c>
      <c r="P47" s="76">
        <f>(100*((LN((100-O47)-I47)-4.6052)/-'Fiber_Ash Inputs'!$D$17))*'Fiber_Ash Inputs'!$C$17</f>
        <v>7.3869240261072449</v>
      </c>
      <c r="Q47" s="76">
        <f t="shared" si="19"/>
        <v>58.830414718402729</v>
      </c>
      <c r="R47" s="76">
        <f>IF('Fiber_Ash Inputs'!$B$11=30,MILK2024_Imperial!I47,IF('Fiber_Ash Inputs'!$B$11=48,MILK2024_Imperial!I47*0.926))</f>
        <v>64.2</v>
      </c>
      <c r="S47" s="76">
        <f t="shared" si="20"/>
        <v>5.6980000000000004</v>
      </c>
      <c r="T47" s="76">
        <f t="shared" si="21"/>
        <v>1.7094</v>
      </c>
      <c r="U47" s="46">
        <f t="shared" si="22"/>
        <v>2.5</v>
      </c>
      <c r="V47" s="77">
        <f t="shared" si="23"/>
        <v>11.700000000000001</v>
      </c>
      <c r="W47" s="76">
        <f>((G47*0.3+MILK2024_Imperial!$J$22*0.7)/100)*MILK2024_Imperial!AT47</f>
        <v>4.5856445751997779</v>
      </c>
      <c r="X47" s="76">
        <f>((S47*0.3+MILK2024_Imperial!$L$22*0.7)/100)*MILK2024_Imperial!AT47</f>
        <v>2.8283731001045389</v>
      </c>
      <c r="Y47" s="76">
        <f>((T47*0.3+MILK2024_Imperial!$M$22*0.7)/100)*MILK2024_Imperial!AT47</f>
        <v>1.4298208821942155</v>
      </c>
      <c r="Z47" s="76">
        <f t="shared" si="24"/>
        <v>3.4564745263351409</v>
      </c>
      <c r="AA47" s="76">
        <f t="shared" si="25"/>
        <v>1.0369423579005421</v>
      </c>
      <c r="AB47" s="76">
        <f>AA47+MILK2024_Imperial!$U$32</f>
        <v>3.5039666508746974</v>
      </c>
      <c r="AC47" s="76">
        <f>($AC$10*0.2)/(MILK2024_Imperial!AT47)</f>
        <v>2.1952587200950457</v>
      </c>
      <c r="AD47" s="76">
        <f t="shared" si="26"/>
        <v>15.518325182771083</v>
      </c>
      <c r="AE47" s="76">
        <f t="shared" si="27"/>
        <v>3.266684901823504</v>
      </c>
      <c r="AF47" s="46">
        <f>(AC47*MILK2024_Imperial!AT47)/1000</f>
        <v>6.0000000000000005E-2</v>
      </c>
      <c r="AG47" s="76">
        <f>(AD47*MILK2024_Imperial!AT47)/1000</f>
        <v>0.42414112853447733</v>
      </c>
      <c r="AH47" s="76">
        <f t="shared" si="28"/>
        <v>0.82301469114619663</v>
      </c>
      <c r="AI47" s="50">
        <f t="shared" si="29"/>
        <v>339.84845660228433</v>
      </c>
      <c r="AJ47" s="76">
        <f>(0.0146*AI47)/MILK2024_Imperial!AT47</f>
        <v>0.18154012004763848</v>
      </c>
      <c r="AK47" s="76">
        <f>(0.294*MILK2024_Imperial!AT47-0.347*(U47*0.3+MILK2024_Imperial!$U$17*0.7)+0.0409*(H47*0.3+$F$22*0.7))/MILK2024_Imperial!AT47</f>
        <v>0.28296826901575345</v>
      </c>
      <c r="AL47" s="76">
        <f t="shared" si="30"/>
        <v>2.8021765127601119</v>
      </c>
      <c r="AM47" s="76">
        <f t="shared" si="31"/>
        <v>1.849436498421674</v>
      </c>
      <c r="AN47" s="76">
        <f t="shared" si="10"/>
        <v>33.418114848392939</v>
      </c>
      <c r="AO47" s="76">
        <f t="shared" si="32"/>
        <v>0.29593385474764422</v>
      </c>
      <c r="AP47" s="78">
        <f t="shared" si="33"/>
        <v>9.8895515454844087</v>
      </c>
      <c r="AQ47" s="78">
        <f t="shared" si="34"/>
        <v>0.79603788982864965</v>
      </c>
      <c r="AR47" s="78">
        <f t="shared" si="11"/>
        <v>13.364258845249202</v>
      </c>
      <c r="AS47" s="78">
        <f t="shared" si="35"/>
        <v>29.401369459548246</v>
      </c>
      <c r="AT47" s="78">
        <f t="shared" si="12"/>
        <v>27.331630413659056</v>
      </c>
      <c r="AU47" s="78">
        <f t="shared" si="36"/>
        <v>60.12958691004993</v>
      </c>
      <c r="AV47" s="78">
        <f t="shared" si="37"/>
        <v>18.038876073014979</v>
      </c>
      <c r="AW47" s="79">
        <f t="shared" si="13"/>
        <v>3259.7784186267395</v>
      </c>
      <c r="AX47" s="79">
        <f t="shared" si="14"/>
        <v>32597.784186267396</v>
      </c>
      <c r="AY47" s="30"/>
      <c r="AZ47" s="1"/>
      <c r="BA47" s="55"/>
      <c r="BB47" s="64"/>
    </row>
    <row r="48" spans="1:56" x14ac:dyDescent="0.2">
      <c r="A48" s="47" t="s">
        <v>203</v>
      </c>
      <c r="B48" s="47"/>
      <c r="C48" s="48">
        <v>10</v>
      </c>
      <c r="D48" s="48">
        <v>41</v>
      </c>
      <c r="E48" s="48">
        <v>76.8</v>
      </c>
      <c r="F48" s="48">
        <v>3.5</v>
      </c>
      <c r="G48" s="48">
        <v>7.4</v>
      </c>
      <c r="H48" s="80">
        <f>'Fiber_Ash Inputs'!V21</f>
        <v>35.6</v>
      </c>
      <c r="I48" s="80">
        <f>'Fiber_Ash Inputs'!W21</f>
        <v>64.2</v>
      </c>
      <c r="J48" s="80">
        <f>'Fiber_Ash Inputs'!X21</f>
        <v>7.9</v>
      </c>
      <c r="K48" s="80">
        <f>'Fiber_Ash Inputs'!U21</f>
        <v>3.8</v>
      </c>
      <c r="L48" s="76">
        <f t="shared" si="15"/>
        <v>24.35079535546226</v>
      </c>
      <c r="M48" s="76">
        <f t="shared" si="16"/>
        <v>94.616843393682686</v>
      </c>
      <c r="N48" s="76">
        <f t="shared" si="17"/>
        <v>22.191011235955056</v>
      </c>
      <c r="O48" s="76">
        <f t="shared" si="18"/>
        <v>22.191011235955056</v>
      </c>
      <c r="P48" s="76">
        <f>(100*((LN((100-O48)-I48)-4.6052)/-'Fiber_Ash Inputs'!$D$17))*'Fiber_Ash Inputs'!$C$17</f>
        <v>7.3869240261072449</v>
      </c>
      <c r="Q48" s="76">
        <f t="shared" si="19"/>
        <v>58.830414718402729</v>
      </c>
      <c r="R48" s="76">
        <f>IF('Fiber_Ash Inputs'!$B$11=30,MILK2024_Imperial!I48,IF('Fiber_Ash Inputs'!$B$11=48,MILK2024_Imperial!I48*0.926))</f>
        <v>64.2</v>
      </c>
      <c r="S48" s="76">
        <f t="shared" si="20"/>
        <v>5.6980000000000004</v>
      </c>
      <c r="T48" s="76">
        <f t="shared" si="21"/>
        <v>1.7094</v>
      </c>
      <c r="U48" s="46">
        <f t="shared" si="22"/>
        <v>2.5</v>
      </c>
      <c r="V48" s="77">
        <f t="shared" si="23"/>
        <v>9.7000000000000011</v>
      </c>
      <c r="W48" s="76">
        <f>((G48*0.3+MILK2024_Imperial!$J$22*0.7)/100)*MILK2024_Imperial!AT48</f>
        <v>4.5856445751997779</v>
      </c>
      <c r="X48" s="76">
        <f>((S48*0.3+MILK2024_Imperial!$L$22*0.7)/100)*MILK2024_Imperial!AT48</f>
        <v>2.8283731001045389</v>
      </c>
      <c r="Y48" s="76">
        <f>((T48*0.3+MILK2024_Imperial!$M$22*0.7)/100)*MILK2024_Imperial!AT48</f>
        <v>1.4298208821942155</v>
      </c>
      <c r="Z48" s="76">
        <f t="shared" si="24"/>
        <v>3.4637203758461963</v>
      </c>
      <c r="AA48" s="76">
        <f t="shared" si="25"/>
        <v>1.0391161127538588</v>
      </c>
      <c r="AB48" s="76">
        <f>AA48+MILK2024_Imperial!$U$32</f>
        <v>3.5061404057280141</v>
      </c>
      <c r="AC48" s="76">
        <f>($AC$10*0.2)/(MILK2024_Imperial!AT48)</f>
        <v>2.1952587200950457</v>
      </c>
      <c r="AD48" s="76">
        <f t="shared" si="26"/>
        <v>15.518325182771083</v>
      </c>
      <c r="AE48" s="76">
        <f t="shared" si="27"/>
        <v>3.2688586566768207</v>
      </c>
      <c r="AF48" s="46">
        <f>(AC48*MILK2024_Imperial!AT48)/1000</f>
        <v>6.0000000000000005E-2</v>
      </c>
      <c r="AG48" s="76">
        <f>(AD48*MILK2024_Imperial!AT48)/1000</f>
        <v>0.42414112853447733</v>
      </c>
      <c r="AH48" s="76">
        <f t="shared" si="28"/>
        <v>0.82301469114619663</v>
      </c>
      <c r="AI48" s="50">
        <f t="shared" si="29"/>
        <v>339.84845660228433</v>
      </c>
      <c r="AJ48" s="76">
        <f>(0.0146*AI48)/MILK2024_Imperial!AT48</f>
        <v>0.18154012004763848</v>
      </c>
      <c r="AK48" s="76">
        <f>(0.294*MILK2024_Imperial!AT48-0.347*(U48*0.3+MILK2024_Imperial!$U$17*0.7)+0.0409*(H48*0.3+$F$22*0.7))/MILK2024_Imperial!AT48</f>
        <v>0.28296826901575345</v>
      </c>
      <c r="AL48" s="76">
        <f t="shared" si="30"/>
        <v>2.8043502676134286</v>
      </c>
      <c r="AM48" s="76">
        <f t="shared" si="31"/>
        <v>1.8508711766248629</v>
      </c>
      <c r="AN48" s="76">
        <f t="shared" si="10"/>
        <v>33.457326942805032</v>
      </c>
      <c r="AO48" s="76">
        <f t="shared" si="32"/>
        <v>0.29637036527580163</v>
      </c>
      <c r="AP48" s="78">
        <f t="shared" si="33"/>
        <v>9.9157602071910471</v>
      </c>
      <c r="AQ48" s="78">
        <f t="shared" si="34"/>
        <v>0.7981474989109455</v>
      </c>
      <c r="AR48" s="78">
        <f t="shared" si="11"/>
        <v>13.399675955663577</v>
      </c>
      <c r="AS48" s="78">
        <f t="shared" si="35"/>
        <v>29.479287102459871</v>
      </c>
      <c r="AT48" s="78">
        <f t="shared" si="12"/>
        <v>27.331630413659056</v>
      </c>
      <c r="AU48" s="78">
        <f t="shared" si="36"/>
        <v>60.12958691004993</v>
      </c>
      <c r="AV48" s="78">
        <f t="shared" si="37"/>
        <v>18.038876073014979</v>
      </c>
      <c r="AW48" s="79">
        <f t="shared" si="13"/>
        <v>3268.4172764575978</v>
      </c>
      <c r="AX48" s="79">
        <f t="shared" si="14"/>
        <v>32684.172764575978</v>
      </c>
      <c r="AY48" s="30"/>
      <c r="AZ48" s="1"/>
      <c r="BA48" s="55"/>
      <c r="BB48" s="64"/>
    </row>
    <row r="49" spans="1:60" x14ac:dyDescent="0.2">
      <c r="A49" s="47" t="s">
        <v>204</v>
      </c>
      <c r="B49" s="47"/>
      <c r="C49" s="48">
        <v>10</v>
      </c>
      <c r="D49" s="48">
        <v>35</v>
      </c>
      <c r="E49" s="48">
        <v>76.8</v>
      </c>
      <c r="F49" s="48">
        <v>3.5</v>
      </c>
      <c r="G49" s="48">
        <v>7.4</v>
      </c>
      <c r="H49" s="80">
        <f>'Fiber_Ash Inputs'!V22</f>
        <v>35.6</v>
      </c>
      <c r="I49" s="80">
        <f>'Fiber_Ash Inputs'!W22</f>
        <v>64.2</v>
      </c>
      <c r="J49" s="80">
        <f>'Fiber_Ash Inputs'!X22</f>
        <v>7.9</v>
      </c>
      <c r="K49" s="80">
        <f>'Fiber_Ash Inputs'!U22</f>
        <v>3.8</v>
      </c>
      <c r="L49" s="76">
        <f t="shared" si="15"/>
        <v>24.35079535546226</v>
      </c>
      <c r="M49" s="76">
        <f t="shared" si="16"/>
        <v>94.616843393682686</v>
      </c>
      <c r="N49" s="76">
        <f t="shared" si="17"/>
        <v>22.191011235955056</v>
      </c>
      <c r="O49" s="76">
        <f t="shared" si="18"/>
        <v>22.191011235955056</v>
      </c>
      <c r="P49" s="76">
        <f>(100*((LN((100-O49)-I49)-4.6052)/-'Fiber_Ash Inputs'!$D$17))*'Fiber_Ash Inputs'!$C$17</f>
        <v>7.3869240261072449</v>
      </c>
      <c r="Q49" s="76">
        <f t="shared" si="19"/>
        <v>58.830414718402729</v>
      </c>
      <c r="R49" s="76">
        <f>IF('Fiber_Ash Inputs'!$B$11=30,MILK2024_Imperial!I49,IF('Fiber_Ash Inputs'!$B$11=48,MILK2024_Imperial!I49*0.926))</f>
        <v>64.2</v>
      </c>
      <c r="S49" s="76">
        <f t="shared" si="20"/>
        <v>5.6980000000000004</v>
      </c>
      <c r="T49" s="76">
        <f t="shared" si="21"/>
        <v>1.7094</v>
      </c>
      <c r="U49" s="46">
        <f t="shared" si="22"/>
        <v>2.5</v>
      </c>
      <c r="V49" s="77">
        <f t="shared" si="23"/>
        <v>15.700000000000001</v>
      </c>
      <c r="W49" s="76">
        <f>((G49*0.3+MILK2024_Imperial!$J$22*0.7)/100)*MILK2024_Imperial!AT49</f>
        <v>4.5856445751997779</v>
      </c>
      <c r="X49" s="76">
        <f>((S49*0.3+MILK2024_Imperial!$L$22*0.7)/100)*MILK2024_Imperial!AT49</f>
        <v>2.8283731001045389</v>
      </c>
      <c r="Y49" s="76">
        <f>((T49*0.3+MILK2024_Imperial!$M$22*0.7)/100)*MILK2024_Imperial!AT49</f>
        <v>1.4298208821942155</v>
      </c>
      <c r="Z49" s="76">
        <f t="shared" si="24"/>
        <v>3.44198282731303</v>
      </c>
      <c r="AA49" s="76">
        <f t="shared" si="25"/>
        <v>1.0325948481939089</v>
      </c>
      <c r="AB49" s="76">
        <f>AA49+MILK2024_Imperial!$U$32</f>
        <v>3.4996191411680644</v>
      </c>
      <c r="AC49" s="76">
        <f>($AC$10*0.2)/(MILK2024_Imperial!AT49)</f>
        <v>2.1952587200950457</v>
      </c>
      <c r="AD49" s="76">
        <f t="shared" si="26"/>
        <v>15.518325182771083</v>
      </c>
      <c r="AE49" s="76">
        <f t="shared" si="27"/>
        <v>3.262337392116871</v>
      </c>
      <c r="AF49" s="46">
        <f>(AC49*MILK2024_Imperial!AT49)/1000</f>
        <v>6.0000000000000005E-2</v>
      </c>
      <c r="AG49" s="76">
        <f>(AD49*MILK2024_Imperial!AT49)/1000</f>
        <v>0.42414112853447733</v>
      </c>
      <c r="AH49" s="76">
        <f t="shared" si="28"/>
        <v>0.82301469114619663</v>
      </c>
      <c r="AI49" s="50">
        <f t="shared" si="29"/>
        <v>339.84845660228433</v>
      </c>
      <c r="AJ49" s="76">
        <f>(0.0146*AI49)/MILK2024_Imperial!AT49</f>
        <v>0.18154012004763848</v>
      </c>
      <c r="AK49" s="76">
        <f>(0.294*MILK2024_Imperial!AT49-0.347*(U49*0.3+MILK2024_Imperial!$U$17*0.7)+0.0409*(H49*0.3+$F$22*0.7))/MILK2024_Imperial!AT49</f>
        <v>0.28296826901575345</v>
      </c>
      <c r="AL49" s="76">
        <f t="shared" si="30"/>
        <v>2.7978290030534789</v>
      </c>
      <c r="AM49" s="76">
        <f t="shared" si="31"/>
        <v>1.8465671420152963</v>
      </c>
      <c r="AN49" s="76">
        <f t="shared" si="10"/>
        <v>33.33969065956876</v>
      </c>
      <c r="AO49" s="76">
        <f t="shared" si="32"/>
        <v>0.29505920688537002</v>
      </c>
      <c r="AP49" s="78">
        <f t="shared" si="33"/>
        <v>9.8371826838159375</v>
      </c>
      <c r="AQ49" s="78">
        <f t="shared" si="34"/>
        <v>0.79182257248654719</v>
      </c>
      <c r="AR49" s="78">
        <f t="shared" si="11"/>
        <v>13.293490113264781</v>
      </c>
      <c r="AS49" s="78">
        <f t="shared" si="35"/>
        <v>29.245678249182522</v>
      </c>
      <c r="AT49" s="78">
        <f t="shared" si="12"/>
        <v>27.331630413659056</v>
      </c>
      <c r="AU49" s="78">
        <f t="shared" si="36"/>
        <v>60.12958691004993</v>
      </c>
      <c r="AV49" s="78">
        <f t="shared" si="37"/>
        <v>18.038876073014979</v>
      </c>
      <c r="AW49" s="79">
        <f t="shared" si="13"/>
        <v>3242.5166768490872</v>
      </c>
      <c r="AX49" s="79">
        <f t="shared" si="14"/>
        <v>32425.166768490872</v>
      </c>
      <c r="AY49" s="30"/>
      <c r="AZ49" s="1"/>
      <c r="BA49" s="55"/>
      <c r="BB49" s="64"/>
    </row>
    <row r="50" spans="1:60" x14ac:dyDescent="0.2">
      <c r="A50" s="47" t="s">
        <v>205</v>
      </c>
      <c r="B50" s="47"/>
      <c r="C50" s="48">
        <v>10</v>
      </c>
      <c r="D50" s="48">
        <v>33</v>
      </c>
      <c r="E50" s="48">
        <v>76.8</v>
      </c>
      <c r="F50" s="48">
        <v>3.5</v>
      </c>
      <c r="G50" s="48">
        <v>7.4</v>
      </c>
      <c r="H50" s="80">
        <f>'Fiber_Ash Inputs'!V23</f>
        <v>35.6</v>
      </c>
      <c r="I50" s="80">
        <f>'Fiber_Ash Inputs'!W23</f>
        <v>64.2</v>
      </c>
      <c r="J50" s="80">
        <f>'Fiber_Ash Inputs'!X23</f>
        <v>7.9</v>
      </c>
      <c r="K50" s="80">
        <f>'Fiber_Ash Inputs'!U23</f>
        <v>3.8</v>
      </c>
      <c r="L50" s="76">
        <f t="shared" si="15"/>
        <v>24.35079535546226</v>
      </c>
      <c r="M50" s="76">
        <f t="shared" si="16"/>
        <v>94.616843393682686</v>
      </c>
      <c r="N50" s="76">
        <f t="shared" si="17"/>
        <v>22.191011235955056</v>
      </c>
      <c r="O50" s="76">
        <f t="shared" si="18"/>
        <v>22.191011235955056</v>
      </c>
      <c r="P50" s="76">
        <f>(100*((LN((100-O50)-I50)-4.6052)/-'Fiber_Ash Inputs'!$D$17))*'Fiber_Ash Inputs'!$C$17</f>
        <v>7.3869240261072449</v>
      </c>
      <c r="Q50" s="76">
        <f t="shared" si="19"/>
        <v>58.830414718402729</v>
      </c>
      <c r="R50" s="76">
        <f>IF('Fiber_Ash Inputs'!$B$11=30,MILK2024_Imperial!I50,IF('Fiber_Ash Inputs'!$B$11=48,MILK2024_Imperial!I50*0.926))</f>
        <v>64.2</v>
      </c>
      <c r="S50" s="76">
        <f t="shared" si="20"/>
        <v>5.6980000000000004</v>
      </c>
      <c r="T50" s="76">
        <f t="shared" si="21"/>
        <v>1.7094</v>
      </c>
      <c r="U50" s="46">
        <f t="shared" si="22"/>
        <v>2.5</v>
      </c>
      <c r="V50" s="77">
        <f t="shared" si="23"/>
        <v>17.700000000000003</v>
      </c>
      <c r="W50" s="76">
        <f>((G50*0.3+MILK2024_Imperial!$J$22*0.7)/100)*MILK2024_Imperial!AT50</f>
        <v>4.5856445751997779</v>
      </c>
      <c r="X50" s="76">
        <f>((S50*0.3+MILK2024_Imperial!$L$22*0.7)/100)*MILK2024_Imperial!AT50</f>
        <v>2.8283731001045389</v>
      </c>
      <c r="Y50" s="76">
        <f>((T50*0.3+MILK2024_Imperial!$M$22*0.7)/100)*MILK2024_Imperial!AT50</f>
        <v>1.4298208821942155</v>
      </c>
      <c r="Z50" s="76">
        <f t="shared" si="24"/>
        <v>3.4347369778019741</v>
      </c>
      <c r="AA50" s="76">
        <f t="shared" si="25"/>
        <v>1.0304210933405922</v>
      </c>
      <c r="AB50" s="76">
        <f>AA50+MILK2024_Imperial!$U$32</f>
        <v>3.4974453863147477</v>
      </c>
      <c r="AC50" s="76">
        <f>($AC$10*0.2)/(MILK2024_Imperial!AT50)</f>
        <v>2.1952587200950457</v>
      </c>
      <c r="AD50" s="76">
        <f t="shared" si="26"/>
        <v>15.518325182771083</v>
      </c>
      <c r="AE50" s="76">
        <f t="shared" si="27"/>
        <v>3.2601636372635543</v>
      </c>
      <c r="AF50" s="46">
        <f>(AC50*MILK2024_Imperial!AT50)/1000</f>
        <v>6.0000000000000005E-2</v>
      </c>
      <c r="AG50" s="76">
        <f>(AD50*MILK2024_Imperial!AT50)/1000</f>
        <v>0.42414112853447733</v>
      </c>
      <c r="AH50" s="76">
        <f t="shared" si="28"/>
        <v>0.82301469114619663</v>
      </c>
      <c r="AI50" s="50">
        <f t="shared" si="29"/>
        <v>339.84845660228433</v>
      </c>
      <c r="AJ50" s="76">
        <f>(0.0146*AI50)/MILK2024_Imperial!AT50</f>
        <v>0.18154012004763848</v>
      </c>
      <c r="AK50" s="76">
        <f>(0.294*MILK2024_Imperial!AT50-0.347*(U50*0.3+MILK2024_Imperial!$U$17*0.7)+0.0409*(H50*0.3+$F$22*0.7))/MILK2024_Imperial!AT50</f>
        <v>0.28296826901575345</v>
      </c>
      <c r="AL50" s="76">
        <f t="shared" si="30"/>
        <v>2.7956552482001622</v>
      </c>
      <c r="AM50" s="76">
        <f t="shared" si="31"/>
        <v>1.8451324638121072</v>
      </c>
      <c r="AN50" s="76">
        <f t="shared" si="10"/>
        <v>33.300478565156659</v>
      </c>
      <c r="AO50" s="76">
        <f t="shared" si="32"/>
        <v>0.29462106752904732</v>
      </c>
      <c r="AP50" s="78">
        <f t="shared" si="33"/>
        <v>9.8110225440946124</v>
      </c>
      <c r="AQ50" s="78">
        <f t="shared" si="34"/>
        <v>0.78971686907566863</v>
      </c>
      <c r="AR50" s="78">
        <f t="shared" si="11"/>
        <v>13.258138573100828</v>
      </c>
      <c r="AS50" s="78">
        <f t="shared" si="35"/>
        <v>29.167904860821825</v>
      </c>
      <c r="AT50" s="78">
        <f t="shared" si="12"/>
        <v>27.331630413659056</v>
      </c>
      <c r="AU50" s="78">
        <f t="shared" si="36"/>
        <v>60.12958691004993</v>
      </c>
      <c r="AV50" s="78">
        <f t="shared" si="37"/>
        <v>18.038876073014979</v>
      </c>
      <c r="AW50" s="79">
        <f t="shared" si="13"/>
        <v>3233.8938127586753</v>
      </c>
      <c r="AX50" s="79">
        <f t="shared" si="14"/>
        <v>32338.938127586753</v>
      </c>
      <c r="AY50" s="30"/>
      <c r="AZ50" s="1"/>
      <c r="BA50" s="55"/>
      <c r="BB50" s="64"/>
    </row>
    <row r="51" spans="1:60" x14ac:dyDescent="0.2">
      <c r="A51" s="47" t="s">
        <v>206</v>
      </c>
      <c r="B51" s="47"/>
      <c r="C51" s="48">
        <v>10</v>
      </c>
      <c r="D51" s="48">
        <v>37.1</v>
      </c>
      <c r="E51" s="48">
        <v>80</v>
      </c>
      <c r="F51" s="48">
        <v>3.5</v>
      </c>
      <c r="G51" s="48">
        <v>7.4</v>
      </c>
      <c r="H51" s="80">
        <f>'Fiber_Ash Inputs'!V24</f>
        <v>35.6</v>
      </c>
      <c r="I51" s="80">
        <f>'Fiber_Ash Inputs'!W24</f>
        <v>64.2</v>
      </c>
      <c r="J51" s="80">
        <f>'Fiber_Ash Inputs'!X24</f>
        <v>7.9</v>
      </c>
      <c r="K51" s="80">
        <f>'Fiber_Ash Inputs'!U24</f>
        <v>3.8</v>
      </c>
      <c r="L51" s="76">
        <f t="shared" si="15"/>
        <v>26.824462107433483</v>
      </c>
      <c r="M51" s="76">
        <f t="shared" si="16"/>
        <v>95.005955551999904</v>
      </c>
      <c r="N51" s="76">
        <f t="shared" si="17"/>
        <v>22.191011235955056</v>
      </c>
      <c r="O51" s="76">
        <f t="shared" si="18"/>
        <v>22.191011235955056</v>
      </c>
      <c r="P51" s="76">
        <f>(100*((LN((100-O51)-I51)-4.6052)/-'Fiber_Ash Inputs'!$D$17))*'Fiber_Ash Inputs'!$C$17</f>
        <v>7.3869240261072449</v>
      </c>
      <c r="Q51" s="76">
        <f t="shared" si="19"/>
        <v>58.830414718402729</v>
      </c>
      <c r="R51" s="76">
        <f>IF('Fiber_Ash Inputs'!$B$11=30,MILK2024_Imperial!I51,IF('Fiber_Ash Inputs'!$B$11=48,MILK2024_Imperial!I51*0.926))</f>
        <v>64.2</v>
      </c>
      <c r="S51" s="76">
        <f t="shared" si="20"/>
        <v>5.6980000000000004</v>
      </c>
      <c r="T51" s="76">
        <f t="shared" si="21"/>
        <v>1.7094</v>
      </c>
      <c r="U51" s="46">
        <f t="shared" si="22"/>
        <v>2.5</v>
      </c>
      <c r="V51" s="77">
        <f t="shared" si="23"/>
        <v>13.6</v>
      </c>
      <c r="W51" s="76">
        <f>((G51*0.3+MILK2024_Imperial!$J$22*0.7)/100)*MILK2024_Imperial!AT51</f>
        <v>4.5856445751997779</v>
      </c>
      <c r="X51" s="76">
        <f>((S51*0.3+MILK2024_Imperial!$L$22*0.7)/100)*MILK2024_Imperial!AT51</f>
        <v>2.8283731001045389</v>
      </c>
      <c r="Y51" s="76">
        <f>((T51*0.3+MILK2024_Imperial!$M$22*0.7)/100)*MILK2024_Imperial!AT51</f>
        <v>1.4298208821942155</v>
      </c>
      <c r="Z51" s="76">
        <f t="shared" si="24"/>
        <v>3.4556974231337572</v>
      </c>
      <c r="AA51" s="76">
        <f t="shared" si="25"/>
        <v>1.036709226940127</v>
      </c>
      <c r="AB51" s="76">
        <f>AA51+MILK2024_Imperial!$U$32</f>
        <v>3.5037335199142827</v>
      </c>
      <c r="AC51" s="76">
        <f>($AC$10*0.2)/(MILK2024_Imperial!AT51)</f>
        <v>2.1952587200950457</v>
      </c>
      <c r="AD51" s="76">
        <f t="shared" si="26"/>
        <v>15.518325182771083</v>
      </c>
      <c r="AE51" s="76">
        <f t="shared" si="27"/>
        <v>3.2664517708630894</v>
      </c>
      <c r="AF51" s="46">
        <f>(AC51*MILK2024_Imperial!AT51)/1000</f>
        <v>6.0000000000000005E-2</v>
      </c>
      <c r="AG51" s="76">
        <f>(AD51*MILK2024_Imperial!AT51)/1000</f>
        <v>0.42414112853447733</v>
      </c>
      <c r="AH51" s="76">
        <f t="shared" si="28"/>
        <v>0.82301469114619663</v>
      </c>
      <c r="AI51" s="50">
        <f t="shared" si="29"/>
        <v>339.84845660228433</v>
      </c>
      <c r="AJ51" s="76">
        <f>(0.0146*AI51)/MILK2024_Imperial!AT51</f>
        <v>0.18154012004763848</v>
      </c>
      <c r="AK51" s="76">
        <f>(0.294*MILK2024_Imperial!AT51-0.347*(U51*0.3+MILK2024_Imperial!$U$17*0.7)+0.0409*(H51*0.3+$F$22*0.7))/MILK2024_Imperial!AT51</f>
        <v>0.28296826901575345</v>
      </c>
      <c r="AL51" s="76">
        <f t="shared" si="30"/>
        <v>2.8019433817996973</v>
      </c>
      <c r="AM51" s="76">
        <f t="shared" si="31"/>
        <v>1.8492826319878002</v>
      </c>
      <c r="AN51" s="76">
        <f t="shared" si="10"/>
        <v>33.41390942788923</v>
      </c>
      <c r="AO51" s="76">
        <f t="shared" si="32"/>
        <v>0.29588700768701431</v>
      </c>
      <c r="AP51" s="78">
        <f t="shared" si="33"/>
        <v>9.8867416757430604</v>
      </c>
      <c r="AQ51" s="78">
        <f t="shared" si="34"/>
        <v>0.79581171549007546</v>
      </c>
      <c r="AR51" s="78">
        <f t="shared" si="11"/>
        <v>13.360461723977108</v>
      </c>
      <c r="AS51" s="78">
        <f t="shared" si="35"/>
        <v>29.39301579274964</v>
      </c>
      <c r="AT51" s="78">
        <f t="shared" si="12"/>
        <v>27.331630413659056</v>
      </c>
      <c r="AU51" s="78">
        <f t="shared" si="36"/>
        <v>60.12958691004993</v>
      </c>
      <c r="AV51" s="78">
        <f t="shared" si="37"/>
        <v>18.038876073014979</v>
      </c>
      <c r="AW51" s="79">
        <f t="shared" si="13"/>
        <v>3258.8522337840923</v>
      </c>
      <c r="AX51" s="79">
        <f t="shared" si="14"/>
        <v>32588.522337840921</v>
      </c>
      <c r="AY51" s="30"/>
      <c r="AZ51" s="1"/>
      <c r="BA51" s="55"/>
      <c r="BB51" s="64"/>
    </row>
    <row r="52" spans="1:60" x14ac:dyDescent="0.2">
      <c r="A52" s="47" t="s">
        <v>207</v>
      </c>
      <c r="B52" s="47"/>
      <c r="C52" s="48">
        <v>10</v>
      </c>
      <c r="D52" s="48">
        <v>37.1</v>
      </c>
      <c r="E52" s="48">
        <v>85</v>
      </c>
      <c r="F52" s="48">
        <v>3.5</v>
      </c>
      <c r="G52" s="48">
        <v>7.4</v>
      </c>
      <c r="H52" s="80">
        <f>'Fiber_Ash Inputs'!V25</f>
        <v>35.6</v>
      </c>
      <c r="I52" s="80">
        <f>'Fiber_Ash Inputs'!W25</f>
        <v>64.2</v>
      </c>
      <c r="J52" s="80">
        <f>'Fiber_Ash Inputs'!X25</f>
        <v>7.9</v>
      </c>
      <c r="K52" s="80">
        <f>'Fiber_Ash Inputs'!U25</f>
        <v>3.8</v>
      </c>
      <c r="L52" s="76">
        <f t="shared" si="15"/>
        <v>31.619163314963167</v>
      </c>
      <c r="M52" s="76">
        <f t="shared" si="16"/>
        <v>95.634493848839028</v>
      </c>
      <c r="N52" s="76">
        <f t="shared" si="17"/>
        <v>22.191011235955056</v>
      </c>
      <c r="O52" s="76">
        <f t="shared" si="18"/>
        <v>22.191011235955056</v>
      </c>
      <c r="P52" s="76">
        <f>(100*((LN((100-O52)-I52)-4.6052)/-'Fiber_Ash Inputs'!$D$17))*'Fiber_Ash Inputs'!$C$17</f>
        <v>7.3869240261072449</v>
      </c>
      <c r="Q52" s="76">
        <f t="shared" si="19"/>
        <v>58.830414718402729</v>
      </c>
      <c r="R52" s="76">
        <f>IF('Fiber_Ash Inputs'!$B$11=30,MILK2024_Imperial!I52,IF('Fiber_Ash Inputs'!$B$11=48,MILK2024_Imperial!I52*0.926))</f>
        <v>64.2</v>
      </c>
      <c r="S52" s="76">
        <f t="shared" si="20"/>
        <v>5.6980000000000004</v>
      </c>
      <c r="T52" s="76">
        <f t="shared" si="21"/>
        <v>1.7094</v>
      </c>
      <c r="U52" s="46">
        <f t="shared" si="22"/>
        <v>2.5</v>
      </c>
      <c r="V52" s="77">
        <f t="shared" si="23"/>
        <v>13.6</v>
      </c>
      <c r="W52" s="76">
        <f>((G52*0.3+MILK2024_Imperial!$J$22*0.7)/100)*MILK2024_Imperial!AT52</f>
        <v>4.5856445751997779</v>
      </c>
      <c r="X52" s="76">
        <f>((S52*0.3+MILK2024_Imperial!$L$22*0.7)/100)*MILK2024_Imperial!AT52</f>
        <v>2.8283731001045389</v>
      </c>
      <c r="Y52" s="76">
        <f>((T52*0.3+MILK2024_Imperial!$M$22*0.7)/100)*MILK2024_Imperial!AT52</f>
        <v>1.4298208821942155</v>
      </c>
      <c r="Z52" s="76">
        <f t="shared" si="24"/>
        <v>3.4655612631875425</v>
      </c>
      <c r="AA52" s="76">
        <f t="shared" si="25"/>
        <v>1.0396683789562626</v>
      </c>
      <c r="AB52" s="76">
        <f>AA52+MILK2024_Imperial!$U$32</f>
        <v>3.5066926719304181</v>
      </c>
      <c r="AC52" s="76">
        <f>($AC$10*0.2)/(MILK2024_Imperial!AT52)</f>
        <v>2.1952587200950457</v>
      </c>
      <c r="AD52" s="76">
        <f t="shared" si="26"/>
        <v>15.518325182771083</v>
      </c>
      <c r="AE52" s="76">
        <f t="shared" si="27"/>
        <v>3.2694109228792247</v>
      </c>
      <c r="AF52" s="46">
        <f>(AC52*MILK2024_Imperial!AT52)/1000</f>
        <v>6.0000000000000005E-2</v>
      </c>
      <c r="AG52" s="76">
        <f>(AD52*MILK2024_Imperial!AT52)/1000</f>
        <v>0.42414112853447733</v>
      </c>
      <c r="AH52" s="76">
        <f t="shared" si="28"/>
        <v>0.82301469114619663</v>
      </c>
      <c r="AI52" s="50">
        <f t="shared" si="29"/>
        <v>339.84845660228433</v>
      </c>
      <c r="AJ52" s="76">
        <f>(0.0146*AI52)/MILK2024_Imperial!AT52</f>
        <v>0.18154012004763848</v>
      </c>
      <c r="AK52" s="76">
        <f>(0.294*MILK2024_Imperial!AT52-0.347*(U52*0.3+MILK2024_Imperial!$U$17*0.7)+0.0409*(H52*0.3+$F$22*0.7))/MILK2024_Imperial!AT52</f>
        <v>0.28296826901575345</v>
      </c>
      <c r="AL52" s="76">
        <f t="shared" si="30"/>
        <v>2.8049025338158327</v>
      </c>
      <c r="AM52" s="76">
        <f t="shared" si="31"/>
        <v>1.8512356723184495</v>
      </c>
      <c r="AN52" s="76">
        <f t="shared" si="10"/>
        <v>33.467289204389509</v>
      </c>
      <c r="AO52" s="76">
        <f t="shared" si="32"/>
        <v>0.29648117933982793</v>
      </c>
      <c r="AP52" s="78">
        <f t="shared" si="33"/>
        <v>9.922421372624493</v>
      </c>
      <c r="AQ52" s="78">
        <f t="shared" si="34"/>
        <v>0.79868367489941694</v>
      </c>
      <c r="AR52" s="78">
        <f t="shared" si="11"/>
        <v>13.408677530573639</v>
      </c>
      <c r="AS52" s="78">
        <f t="shared" si="35"/>
        <v>29.499090567262009</v>
      </c>
      <c r="AT52" s="78">
        <f t="shared" si="12"/>
        <v>27.331630413659056</v>
      </c>
      <c r="AU52" s="78">
        <f t="shared" si="36"/>
        <v>60.12958691004993</v>
      </c>
      <c r="AV52" s="78">
        <f t="shared" si="37"/>
        <v>18.038876073014979</v>
      </c>
      <c r="AW52" s="79">
        <f t="shared" si="13"/>
        <v>3270.6129193260317</v>
      </c>
      <c r="AX52" s="79">
        <f t="shared" si="14"/>
        <v>32706.129193260316</v>
      </c>
      <c r="AY52" s="30"/>
      <c r="AZ52" s="1"/>
    </row>
    <row r="53" spans="1:60" x14ac:dyDescent="0.2">
      <c r="A53" s="47" t="s">
        <v>208</v>
      </c>
      <c r="B53" s="47"/>
      <c r="C53" s="48">
        <v>10</v>
      </c>
      <c r="D53" s="48">
        <v>37.1</v>
      </c>
      <c r="E53" s="48">
        <v>70</v>
      </c>
      <c r="F53" s="48">
        <v>3.5</v>
      </c>
      <c r="G53" s="48">
        <v>7.4</v>
      </c>
      <c r="H53" s="80">
        <f>'Fiber_Ash Inputs'!V26</f>
        <v>35.6</v>
      </c>
      <c r="I53" s="80">
        <f>'Fiber_Ash Inputs'!W26</f>
        <v>64.2</v>
      </c>
      <c r="J53" s="80">
        <f>'Fiber_Ash Inputs'!X26</f>
        <v>7.9</v>
      </c>
      <c r="K53" s="80">
        <f>'Fiber_Ash Inputs'!U26</f>
        <v>3.8</v>
      </c>
      <c r="L53" s="76">
        <f t="shared" si="15"/>
        <v>20.066710305630743</v>
      </c>
      <c r="M53" s="76">
        <f t="shared" si="16"/>
        <v>93.80093249840418</v>
      </c>
      <c r="N53" s="76">
        <f t="shared" si="17"/>
        <v>22.191011235955056</v>
      </c>
      <c r="O53" s="76">
        <f t="shared" si="18"/>
        <v>22.191011235955056</v>
      </c>
      <c r="P53" s="76">
        <f>(100*((LN((100-O53)-I53)-4.6052)/-'Fiber_Ash Inputs'!$D$17))*'Fiber_Ash Inputs'!$C$17</f>
        <v>7.3869240261072449</v>
      </c>
      <c r="Q53" s="76">
        <f t="shared" si="19"/>
        <v>58.830414718402729</v>
      </c>
      <c r="R53" s="76">
        <f>IF('Fiber_Ash Inputs'!$B$11=30,MILK2024_Imperial!I53,IF('Fiber_Ash Inputs'!$B$11=48,MILK2024_Imperial!I53*0.926))</f>
        <v>64.2</v>
      </c>
      <c r="S53" s="76">
        <f t="shared" si="20"/>
        <v>5.6980000000000004</v>
      </c>
      <c r="T53" s="76">
        <f t="shared" si="21"/>
        <v>1.7094</v>
      </c>
      <c r="U53" s="46">
        <f t="shared" si="22"/>
        <v>2.5</v>
      </c>
      <c r="V53" s="77">
        <f t="shared" si="23"/>
        <v>13.6</v>
      </c>
      <c r="W53" s="76">
        <f>((G53*0.3+MILK2024_Imperial!$J$22*0.7)/100)*MILK2024_Imperial!AT53</f>
        <v>4.5856445751997779</v>
      </c>
      <c r="X53" s="76">
        <f>((S53*0.3+MILK2024_Imperial!$L$22*0.7)/100)*MILK2024_Imperial!AT53</f>
        <v>2.8283731001045389</v>
      </c>
      <c r="Y53" s="76">
        <f>((T53*0.3+MILK2024_Imperial!$M$22*0.7)/100)*MILK2024_Imperial!AT53</f>
        <v>1.4298208821942155</v>
      </c>
      <c r="Z53" s="76">
        <f t="shared" si="24"/>
        <v>3.4367866348467637</v>
      </c>
      <c r="AA53" s="76">
        <f t="shared" si="25"/>
        <v>1.0310359904540292</v>
      </c>
      <c r="AB53" s="76">
        <f>AA53+MILK2024_Imperial!$U$32</f>
        <v>3.4980602834281846</v>
      </c>
      <c r="AC53" s="76">
        <f>($AC$10*0.2)/(MILK2024_Imperial!AT53)</f>
        <v>2.1952587200950457</v>
      </c>
      <c r="AD53" s="76">
        <f t="shared" si="26"/>
        <v>15.518325182771083</v>
      </c>
      <c r="AE53" s="76">
        <f t="shared" si="27"/>
        <v>3.2607785343769913</v>
      </c>
      <c r="AF53" s="46">
        <f>(AC53*MILK2024_Imperial!AT53)/1000</f>
        <v>6.0000000000000005E-2</v>
      </c>
      <c r="AG53" s="76">
        <f>(AD53*MILK2024_Imperial!AT53)/1000</f>
        <v>0.42414112853447733</v>
      </c>
      <c r="AH53" s="76">
        <f t="shared" si="28"/>
        <v>0.82301469114619663</v>
      </c>
      <c r="AI53" s="50">
        <f t="shared" si="29"/>
        <v>339.84845660228433</v>
      </c>
      <c r="AJ53" s="76">
        <f>(0.0146*AI53)/MILK2024_Imperial!AT53</f>
        <v>0.18154012004763848</v>
      </c>
      <c r="AK53" s="76">
        <f>(0.294*MILK2024_Imperial!AT53-0.347*(U53*0.3+MILK2024_Imperial!$U$17*0.7)+0.0409*(H53*0.3+$F$22*0.7))/MILK2024_Imperial!AT53</f>
        <v>0.28296826901575345</v>
      </c>
      <c r="AL53" s="76">
        <f t="shared" si="30"/>
        <v>2.7962701453135992</v>
      </c>
      <c r="AM53" s="76">
        <f t="shared" si="31"/>
        <v>1.8455382959069755</v>
      </c>
      <c r="AN53" s="76">
        <f t="shared" si="10"/>
        <v>33.311570617983605</v>
      </c>
      <c r="AO53" s="76">
        <f t="shared" si="32"/>
        <v>0.2947450606664756</v>
      </c>
      <c r="AP53" s="78">
        <f t="shared" si="33"/>
        <v>9.8184209026931644</v>
      </c>
      <c r="AQ53" s="78">
        <f t="shared" si="34"/>
        <v>0.79031238382069013</v>
      </c>
      <c r="AR53" s="78">
        <f t="shared" si="11"/>
        <v>13.268136354990762</v>
      </c>
      <c r="AS53" s="78">
        <f t="shared" si="35"/>
        <v>29.189899980979678</v>
      </c>
      <c r="AT53" s="78">
        <f t="shared" si="12"/>
        <v>27.331630413659056</v>
      </c>
      <c r="AU53" s="78">
        <f t="shared" si="36"/>
        <v>60.12958691004993</v>
      </c>
      <c r="AV53" s="78">
        <f t="shared" si="37"/>
        <v>18.038876073014979</v>
      </c>
      <c r="AW53" s="79">
        <f t="shared" si="13"/>
        <v>3236.3324480781735</v>
      </c>
      <c r="AX53" s="79">
        <f t="shared" si="14"/>
        <v>32363.324480781735</v>
      </c>
      <c r="AY53" s="30"/>
      <c r="AZ53" s="1"/>
      <c r="BA53" s="55"/>
      <c r="BB53" s="64"/>
    </row>
    <row r="54" spans="1:60" x14ac:dyDescent="0.2">
      <c r="A54" s="47" t="s">
        <v>209</v>
      </c>
      <c r="B54" s="47"/>
      <c r="C54" s="48">
        <v>10</v>
      </c>
      <c r="D54" s="48">
        <v>37.1</v>
      </c>
      <c r="E54" s="48">
        <v>65</v>
      </c>
      <c r="F54" s="48">
        <v>3.5</v>
      </c>
      <c r="G54" s="48">
        <v>7.4</v>
      </c>
      <c r="H54" s="80">
        <f>'Fiber_Ash Inputs'!V27</f>
        <v>35.6</v>
      </c>
      <c r="I54" s="80">
        <f>'Fiber_Ash Inputs'!W27</f>
        <v>64.2</v>
      </c>
      <c r="J54" s="80">
        <f>'Fiber_Ash Inputs'!X27</f>
        <v>7.9</v>
      </c>
      <c r="K54" s="80">
        <f>'Fiber_Ash Inputs'!U27</f>
        <v>3.8</v>
      </c>
      <c r="L54" s="76">
        <f t="shared" si="15"/>
        <v>17.497532308509776</v>
      </c>
      <c r="M54" s="76">
        <f t="shared" si="16"/>
        <v>93.197946712621956</v>
      </c>
      <c r="N54" s="76">
        <f t="shared" si="17"/>
        <v>22.191011235955056</v>
      </c>
      <c r="O54" s="76">
        <f t="shared" si="18"/>
        <v>22.191011235955056</v>
      </c>
      <c r="P54" s="76">
        <f>(100*((LN((100-O54)-I54)-4.6052)/-'Fiber_Ash Inputs'!$D$17))*'Fiber_Ash Inputs'!$C$17</f>
        <v>7.3869240261072449</v>
      </c>
      <c r="Q54" s="76">
        <f t="shared" si="19"/>
        <v>58.830414718402729</v>
      </c>
      <c r="R54" s="76">
        <f>IF('Fiber_Ash Inputs'!$B$11=30,MILK2024_Imperial!I54,IF('Fiber_Ash Inputs'!$B$11=48,MILK2024_Imperial!I54*0.926))</f>
        <v>64.2</v>
      </c>
      <c r="S54" s="76">
        <f t="shared" si="20"/>
        <v>5.6980000000000004</v>
      </c>
      <c r="T54" s="76">
        <f t="shared" si="21"/>
        <v>1.7094</v>
      </c>
      <c r="U54" s="46">
        <f t="shared" si="22"/>
        <v>2.5</v>
      </c>
      <c r="V54" s="77">
        <f t="shared" si="23"/>
        <v>13.6</v>
      </c>
      <c r="W54" s="76">
        <f>((G54*0.3+MILK2024_Imperial!$J$22*0.7)/100)*MILK2024_Imperial!AT54</f>
        <v>4.5856445751997779</v>
      </c>
      <c r="X54" s="76">
        <f>((S54*0.3+MILK2024_Imperial!$L$22*0.7)/100)*MILK2024_Imperial!AT54</f>
        <v>2.8283731001045389</v>
      </c>
      <c r="Y54" s="76">
        <f>((T54*0.3+MILK2024_Imperial!$M$22*0.7)/100)*MILK2024_Imperial!AT54</f>
        <v>1.4298208821942155</v>
      </c>
      <c r="Z54" s="76">
        <f t="shared" si="24"/>
        <v>3.4273237980147475</v>
      </c>
      <c r="AA54" s="76">
        <f t="shared" si="25"/>
        <v>1.0281971394044243</v>
      </c>
      <c r="AB54" s="76">
        <f>AA54+MILK2024_Imperial!$U$32</f>
        <v>3.49522143237858</v>
      </c>
      <c r="AC54" s="76">
        <f>($AC$10*0.2)/(MILK2024_Imperial!AT54)</f>
        <v>2.1952587200950457</v>
      </c>
      <c r="AD54" s="76">
        <f t="shared" si="26"/>
        <v>15.518325182771083</v>
      </c>
      <c r="AE54" s="76">
        <f t="shared" si="27"/>
        <v>3.2579396833273866</v>
      </c>
      <c r="AF54" s="46">
        <f>(AC54*MILK2024_Imperial!AT54)/1000</f>
        <v>6.0000000000000005E-2</v>
      </c>
      <c r="AG54" s="76">
        <f>(AD54*MILK2024_Imperial!AT54)/1000</f>
        <v>0.42414112853447733</v>
      </c>
      <c r="AH54" s="76">
        <f t="shared" si="28"/>
        <v>0.82301469114619663</v>
      </c>
      <c r="AI54" s="50">
        <f t="shared" si="29"/>
        <v>339.84845660228433</v>
      </c>
      <c r="AJ54" s="76">
        <f>(0.0146*AI54)/MILK2024_Imperial!AT54</f>
        <v>0.18154012004763848</v>
      </c>
      <c r="AK54" s="76">
        <f>(0.294*MILK2024_Imperial!AT54-0.347*(U54*0.3+MILK2024_Imperial!$U$17*0.7)+0.0409*(H54*0.3+$F$22*0.7))/MILK2024_Imperial!AT54</f>
        <v>0.28296826901575345</v>
      </c>
      <c r="AL54" s="76">
        <f t="shared" si="30"/>
        <v>2.7934312942639945</v>
      </c>
      <c r="AM54" s="76">
        <f t="shared" si="31"/>
        <v>1.8436646542142365</v>
      </c>
      <c r="AN54" s="76">
        <f t="shared" si="10"/>
        <v>33.26036093571004</v>
      </c>
      <c r="AO54" s="76">
        <f t="shared" si="32"/>
        <v>0.29417224610708342</v>
      </c>
      <c r="AP54" s="78">
        <f t="shared" si="33"/>
        <v>9.784275082790117</v>
      </c>
      <c r="AQ54" s="78">
        <f t="shared" si="34"/>
        <v>0.78756389049446829</v>
      </c>
      <c r="AR54" s="78">
        <f t="shared" si="11"/>
        <v>13.22199335512178</v>
      </c>
      <c r="AS54" s="78">
        <f t="shared" si="35"/>
        <v>29.088385381267919</v>
      </c>
      <c r="AT54" s="78">
        <f t="shared" si="12"/>
        <v>27.331630413659056</v>
      </c>
      <c r="AU54" s="78">
        <f t="shared" si="36"/>
        <v>60.12958691004993</v>
      </c>
      <c r="AV54" s="78">
        <f t="shared" si="37"/>
        <v>18.038876073014979</v>
      </c>
      <c r="AW54" s="79">
        <f t="shared" si="13"/>
        <v>3225.0773566522039</v>
      </c>
      <c r="AX54" s="79">
        <f t="shared" si="14"/>
        <v>32250.773566522039</v>
      </c>
      <c r="AY54" s="30"/>
      <c r="AZ54" s="1"/>
      <c r="BA54" s="55"/>
      <c r="BB54" s="64"/>
    </row>
    <row r="55" spans="1:60" x14ac:dyDescent="0.2">
      <c r="A55" s="47" t="s">
        <v>210</v>
      </c>
      <c r="B55" s="47"/>
      <c r="C55" s="48">
        <v>10</v>
      </c>
      <c r="D55" s="48">
        <v>37.1</v>
      </c>
      <c r="E55" s="48">
        <v>76.8</v>
      </c>
      <c r="F55" s="48">
        <v>4</v>
      </c>
      <c r="G55" s="48">
        <v>7.4</v>
      </c>
      <c r="H55" s="80">
        <f>'Fiber_Ash Inputs'!V28</f>
        <v>35.6</v>
      </c>
      <c r="I55" s="80">
        <f>'Fiber_Ash Inputs'!W28</f>
        <v>64.2</v>
      </c>
      <c r="J55" s="80">
        <f>'Fiber_Ash Inputs'!X28</f>
        <v>7.9</v>
      </c>
      <c r="K55" s="80">
        <f>'Fiber_Ash Inputs'!U28</f>
        <v>3.8</v>
      </c>
      <c r="L55" s="76">
        <f t="shared" si="15"/>
        <v>24.35079535546226</v>
      </c>
      <c r="M55" s="76">
        <f t="shared" si="16"/>
        <v>94.616843393682686</v>
      </c>
      <c r="N55" s="76">
        <f t="shared" si="17"/>
        <v>22.191011235955056</v>
      </c>
      <c r="O55" s="76">
        <f t="shared" si="18"/>
        <v>22.191011235955056</v>
      </c>
      <c r="P55" s="76">
        <f>(100*((LN((100-O55)-I55)-4.6052)/-'Fiber_Ash Inputs'!$D$17))*'Fiber_Ash Inputs'!$C$17</f>
        <v>7.3869240261072449</v>
      </c>
      <c r="Q55" s="76">
        <f t="shared" si="19"/>
        <v>58.830414718402729</v>
      </c>
      <c r="R55" s="76">
        <f>IF('Fiber_Ash Inputs'!$B$11=30,MILK2024_Imperial!I55,IF('Fiber_Ash Inputs'!$B$11=48,MILK2024_Imperial!I55*0.926))</f>
        <v>64.2</v>
      </c>
      <c r="S55" s="76">
        <f t="shared" si="20"/>
        <v>5.6980000000000004</v>
      </c>
      <c r="T55" s="76">
        <f t="shared" si="21"/>
        <v>1.7094</v>
      </c>
      <c r="U55" s="46">
        <f t="shared" si="22"/>
        <v>3</v>
      </c>
      <c r="V55" s="77">
        <f t="shared" si="23"/>
        <v>13.1</v>
      </c>
      <c r="W55" s="76">
        <f>((G55*0.3+MILK2024_Imperial!$J$22*0.7)/100)*MILK2024_Imperial!AT55</f>
        <v>4.5856445751997779</v>
      </c>
      <c r="X55" s="76">
        <f>((S55*0.3+MILK2024_Imperial!$L$22*0.7)/100)*MILK2024_Imperial!AT55</f>
        <v>2.8283731001045389</v>
      </c>
      <c r="Y55" s="76">
        <f>((T55*0.3+MILK2024_Imperial!$M$22*0.7)/100)*MILK2024_Imperial!AT55</f>
        <v>1.4298208821942155</v>
      </c>
      <c r="Z55" s="76">
        <f t="shared" si="24"/>
        <v>3.4657009692996379</v>
      </c>
      <c r="AA55" s="76">
        <f t="shared" si="25"/>
        <v>1.0397102907898914</v>
      </c>
      <c r="AB55" s="76">
        <f>AA55+MILK2024_Imperial!$U$32</f>
        <v>3.5067345837640467</v>
      </c>
      <c r="AC55" s="76">
        <f>($AC$10*0.2)/(MILK2024_Imperial!AT55)</f>
        <v>2.1952587200950457</v>
      </c>
      <c r="AD55" s="76">
        <f t="shared" si="26"/>
        <v>15.518325182771083</v>
      </c>
      <c r="AE55" s="76">
        <f t="shared" si="27"/>
        <v>3.2694528347128533</v>
      </c>
      <c r="AF55" s="46">
        <f>(AC55*MILK2024_Imperial!AT55)/1000</f>
        <v>6.0000000000000005E-2</v>
      </c>
      <c r="AG55" s="76">
        <f>(AD55*MILK2024_Imperial!AT55)/1000</f>
        <v>0.42414112853447733</v>
      </c>
      <c r="AH55" s="76">
        <f t="shared" si="28"/>
        <v>0.82301469114619663</v>
      </c>
      <c r="AI55" s="50">
        <f t="shared" si="29"/>
        <v>339.84845660228433</v>
      </c>
      <c r="AJ55" s="76">
        <f>(0.0146*AI55)/MILK2024_Imperial!AT55</f>
        <v>0.18154012004763848</v>
      </c>
      <c r="AK55" s="76">
        <f>(0.294*MILK2024_Imperial!AT55-0.347*(U55*0.3+MILK2024_Imperial!$U$17*0.7)+0.0409*(H55*0.3+$F$22*0.7))/MILK2024_Imperial!AT55</f>
        <v>0.28106388207607097</v>
      </c>
      <c r="AL55" s="76">
        <f t="shared" si="30"/>
        <v>2.8068488325891439</v>
      </c>
      <c r="AM55" s="76">
        <f t="shared" si="31"/>
        <v>1.852520229508835</v>
      </c>
      <c r="AN55" s="76">
        <f t="shared" si="10"/>
        <v>33.502398246762333</v>
      </c>
      <c r="AO55" s="76">
        <f t="shared" si="32"/>
        <v>0.29648958766474159</v>
      </c>
      <c r="AP55" s="78">
        <f t="shared" si="33"/>
        <v>9.933112241962526</v>
      </c>
      <c r="AQ55" s="78">
        <f t="shared" si="34"/>
        <v>0.79954421311787305</v>
      </c>
      <c r="AR55" s="78">
        <f t="shared" si="11"/>
        <v>13.423124651300711</v>
      </c>
      <c r="AS55" s="78">
        <f t="shared" si="35"/>
        <v>29.530874232861567</v>
      </c>
      <c r="AT55" s="78">
        <f t="shared" si="12"/>
        <v>27.331630413659056</v>
      </c>
      <c r="AU55" s="78">
        <f t="shared" si="36"/>
        <v>60.12958691004993</v>
      </c>
      <c r="AV55" s="78">
        <f t="shared" si="37"/>
        <v>18.038876073014979</v>
      </c>
      <c r="AW55" s="79">
        <f t="shared" si="13"/>
        <v>3274.136826854517</v>
      </c>
      <c r="AX55" s="79">
        <f t="shared" si="14"/>
        <v>32741.368268545171</v>
      </c>
      <c r="AY55" s="30"/>
      <c r="AZ55" s="1"/>
      <c r="BA55" s="55"/>
      <c r="BB55" s="64"/>
    </row>
    <row r="56" spans="1:60" x14ac:dyDescent="0.2">
      <c r="A56" s="47" t="s">
        <v>211</v>
      </c>
      <c r="B56" s="47"/>
      <c r="C56" s="48">
        <v>10</v>
      </c>
      <c r="D56" s="48">
        <v>37.1</v>
      </c>
      <c r="E56" s="48">
        <v>76.8</v>
      </c>
      <c r="F56" s="48">
        <v>3</v>
      </c>
      <c r="G56" s="48">
        <v>7.4</v>
      </c>
      <c r="H56" s="80">
        <f>'Fiber_Ash Inputs'!V29</f>
        <v>35.6</v>
      </c>
      <c r="I56" s="80">
        <f>'Fiber_Ash Inputs'!W29</f>
        <v>64.2</v>
      </c>
      <c r="J56" s="80">
        <f>'Fiber_Ash Inputs'!X29</f>
        <v>7.9</v>
      </c>
      <c r="K56" s="80">
        <f>'Fiber_Ash Inputs'!U29</f>
        <v>3.8</v>
      </c>
      <c r="L56" s="76">
        <f t="shared" si="15"/>
        <v>24.35079535546226</v>
      </c>
      <c r="M56" s="76">
        <f t="shared" si="16"/>
        <v>94.616843393682686</v>
      </c>
      <c r="N56" s="76">
        <f t="shared" si="17"/>
        <v>22.191011235955056</v>
      </c>
      <c r="O56" s="76">
        <f t="shared" si="18"/>
        <v>22.191011235955056</v>
      </c>
      <c r="P56" s="76">
        <f>(100*((LN((100-O56)-I56)-4.6052)/-'Fiber_Ash Inputs'!$D$17))*'Fiber_Ash Inputs'!$C$17</f>
        <v>7.3869240261072449</v>
      </c>
      <c r="Q56" s="76">
        <f t="shared" si="19"/>
        <v>58.830414718402729</v>
      </c>
      <c r="R56" s="76">
        <f>IF('Fiber_Ash Inputs'!$B$11=30,MILK2024_Imperial!I56,IF('Fiber_Ash Inputs'!$B$11=48,MILK2024_Imperial!I56*0.926))</f>
        <v>64.2</v>
      </c>
      <c r="S56" s="76">
        <f t="shared" si="20"/>
        <v>5.6980000000000004</v>
      </c>
      <c r="T56" s="76">
        <f t="shared" si="21"/>
        <v>1.7094</v>
      </c>
      <c r="U56" s="46">
        <f t="shared" si="22"/>
        <v>2</v>
      </c>
      <c r="V56" s="77">
        <f t="shared" si="23"/>
        <v>14.1</v>
      </c>
      <c r="W56" s="76">
        <f>((G56*0.3+MILK2024_Imperial!$J$22*0.7)/100)*MILK2024_Imperial!AT56</f>
        <v>4.5856445751997779</v>
      </c>
      <c r="X56" s="76">
        <f>((S56*0.3+MILK2024_Imperial!$L$22*0.7)/100)*MILK2024_Imperial!AT56</f>
        <v>2.8283731001045389</v>
      </c>
      <c r="Y56" s="76">
        <f>((T56*0.3+MILK2024_Imperial!$M$22*0.7)/100)*MILK2024_Imperial!AT56</f>
        <v>1.4298208821942155</v>
      </c>
      <c r="Z56" s="76">
        <f t="shared" si="24"/>
        <v>3.4334809692996373</v>
      </c>
      <c r="AA56" s="76">
        <f t="shared" si="25"/>
        <v>1.0300442907898912</v>
      </c>
      <c r="AB56" s="76">
        <f>AA56+MILK2024_Imperial!$U$32</f>
        <v>3.4970685837640465</v>
      </c>
      <c r="AC56" s="76">
        <f>($AC$10*0.2)/(MILK2024_Imperial!AT56)</f>
        <v>2.1952587200950457</v>
      </c>
      <c r="AD56" s="76">
        <f t="shared" si="26"/>
        <v>15.518325182771083</v>
      </c>
      <c r="AE56" s="76">
        <f t="shared" si="27"/>
        <v>3.2597868347128531</v>
      </c>
      <c r="AF56" s="46">
        <f>(AC56*MILK2024_Imperial!AT56)/1000</f>
        <v>6.0000000000000005E-2</v>
      </c>
      <c r="AG56" s="76">
        <f>(AD56*MILK2024_Imperial!AT56)/1000</f>
        <v>0.42414112853447733</v>
      </c>
      <c r="AH56" s="76">
        <f t="shared" si="28"/>
        <v>0.82301469114619663</v>
      </c>
      <c r="AI56" s="50">
        <f t="shared" si="29"/>
        <v>339.84845660228433</v>
      </c>
      <c r="AJ56" s="76">
        <f>(0.0146*AI56)/MILK2024_Imperial!AT56</f>
        <v>0.18154012004763848</v>
      </c>
      <c r="AK56" s="76">
        <f>(0.294*MILK2024_Imperial!AT56-0.347*(U56*0.3+MILK2024_Imperial!$U$17*0.7)+0.0409*(H56*0.3+$F$22*0.7))/MILK2024_Imperial!AT56</f>
        <v>0.28487265595543587</v>
      </c>
      <c r="AL56" s="76">
        <f t="shared" si="30"/>
        <v>2.7933740587097788</v>
      </c>
      <c r="AM56" s="76">
        <f t="shared" si="31"/>
        <v>1.8436268787484542</v>
      </c>
      <c r="AN56" s="76">
        <f t="shared" si="10"/>
        <v>33.259328470640575</v>
      </c>
      <c r="AO56" s="76">
        <f t="shared" si="32"/>
        <v>0.29454506427815319</v>
      </c>
      <c r="AP56" s="78">
        <f t="shared" si="33"/>
        <v>9.796371042233039</v>
      </c>
      <c r="AQ56" s="78">
        <f t="shared" si="34"/>
        <v>0.78853752837745128</v>
      </c>
      <c r="AR56" s="78">
        <f t="shared" si="11"/>
        <v>13.238339246260864</v>
      </c>
      <c r="AS56" s="78">
        <f t="shared" si="35"/>
        <v>29.124346341773904</v>
      </c>
      <c r="AT56" s="78">
        <f t="shared" si="12"/>
        <v>27.331630413659056</v>
      </c>
      <c r="AU56" s="78">
        <f t="shared" si="36"/>
        <v>60.12958691004993</v>
      </c>
      <c r="AV56" s="78">
        <f t="shared" si="37"/>
        <v>18.038876073014979</v>
      </c>
      <c r="AW56" s="79">
        <f t="shared" si="13"/>
        <v>3229.0644077700704</v>
      </c>
      <c r="AX56" s="79">
        <f t="shared" si="14"/>
        <v>32290.644077700705</v>
      </c>
      <c r="AY56" s="30"/>
      <c r="AZ56" s="1"/>
      <c r="BA56" s="55"/>
      <c r="BB56" s="64"/>
    </row>
    <row r="57" spans="1:60" x14ac:dyDescent="0.2">
      <c r="A57" s="47" t="s">
        <v>212</v>
      </c>
      <c r="B57" s="47"/>
      <c r="C57" s="48">
        <v>10</v>
      </c>
      <c r="D57" s="48">
        <v>37.1</v>
      </c>
      <c r="E57" s="48">
        <v>76.8</v>
      </c>
      <c r="F57" s="48">
        <v>3.5</v>
      </c>
      <c r="G57" s="48">
        <v>8</v>
      </c>
      <c r="H57" s="80">
        <f>'Fiber_Ash Inputs'!V30</f>
        <v>35.6</v>
      </c>
      <c r="I57" s="80">
        <f>'Fiber_Ash Inputs'!W30</f>
        <v>64.2</v>
      </c>
      <c r="J57" s="80">
        <f>'Fiber_Ash Inputs'!X30</f>
        <v>7.9</v>
      </c>
      <c r="K57" s="80">
        <f>'Fiber_Ash Inputs'!U30</f>
        <v>3.8</v>
      </c>
      <c r="L57" s="76">
        <f t="shared" si="15"/>
        <v>24.35079535546226</v>
      </c>
      <c r="M57" s="76">
        <f t="shared" si="16"/>
        <v>94.616843393682686</v>
      </c>
      <c r="N57" s="76">
        <f t="shared" si="17"/>
        <v>22.191011235955056</v>
      </c>
      <c r="O57" s="76">
        <f t="shared" si="18"/>
        <v>22.191011235955056</v>
      </c>
      <c r="P57" s="76">
        <f>(100*((LN((100-O57)-I57)-4.6052)/-'Fiber_Ash Inputs'!$D$17))*'Fiber_Ash Inputs'!$C$17</f>
        <v>7.3869240261072449</v>
      </c>
      <c r="Q57" s="76">
        <f t="shared" si="19"/>
        <v>58.830414718402729</v>
      </c>
      <c r="R57" s="76">
        <f>IF('Fiber_Ash Inputs'!$B$11=30,MILK2024_Imperial!I57,IF('Fiber_Ash Inputs'!$B$11=48,MILK2024_Imperial!I57*0.926))</f>
        <v>64.2</v>
      </c>
      <c r="S57" s="76">
        <f t="shared" si="20"/>
        <v>6.16</v>
      </c>
      <c r="T57" s="76">
        <f t="shared" si="21"/>
        <v>1.8479999999999999</v>
      </c>
      <c r="U57" s="46">
        <f t="shared" si="22"/>
        <v>2.5</v>
      </c>
      <c r="V57" s="77">
        <f t="shared" si="23"/>
        <v>13</v>
      </c>
      <c r="W57" s="76">
        <f>((G57*0.3+MILK2024_Imperial!$J$22*0.7)/100)*MILK2024_Imperial!AT57</f>
        <v>4.6348415099443638</v>
      </c>
      <c r="X57" s="76">
        <f>((S57*0.3+MILK2024_Imperial!$L$22*0.7)/100)*MILK2024_Imperial!AT57</f>
        <v>2.8662547398578702</v>
      </c>
      <c r="Y57" s="76">
        <f>((T57*0.3+MILK2024_Imperial!$M$22*0.7)/100)*MILK2024_Imperial!AT57</f>
        <v>1.4411853741202152</v>
      </c>
      <c r="Z57" s="76">
        <f t="shared" si="24"/>
        <v>3.4616848692996376</v>
      </c>
      <c r="AA57" s="76">
        <f t="shared" si="25"/>
        <v>1.0385054607898911</v>
      </c>
      <c r="AB57" s="76">
        <f>AA57+MILK2024_Imperial!$U$32</f>
        <v>3.5055297537640469</v>
      </c>
      <c r="AC57" s="76">
        <f>($AC$10*0.2)/(MILK2024_Imperial!AT57)</f>
        <v>2.1952587200950457</v>
      </c>
      <c r="AD57" s="76">
        <f t="shared" si="26"/>
        <v>15.518325182771083</v>
      </c>
      <c r="AE57" s="76">
        <f t="shared" si="27"/>
        <v>3.2682480047128535</v>
      </c>
      <c r="AF57" s="46">
        <f>(AC57*MILK2024_Imperial!AT57)/1000</f>
        <v>6.0000000000000005E-2</v>
      </c>
      <c r="AG57" s="76">
        <f>(AD57*MILK2024_Imperial!AT57)/1000</f>
        <v>0.42414112853447733</v>
      </c>
      <c r="AH57" s="76">
        <f t="shared" si="28"/>
        <v>0.82490393193391043</v>
      </c>
      <c r="AI57" s="50">
        <f t="shared" si="29"/>
        <v>347.72783767097729</v>
      </c>
      <c r="AJ57" s="76">
        <f>(0.0146*AI57)/MILK2024_Imperial!AT57</f>
        <v>0.18574912484763847</v>
      </c>
      <c r="AK57" s="76">
        <f>(0.294*MILK2024_Imperial!AT57-0.347*(U57*0.3+MILK2024_Imperial!$U$17*0.7)+0.0409*(H57*0.3+$F$22*0.7))/MILK2024_Imperial!AT57</f>
        <v>0.28296826901575345</v>
      </c>
      <c r="AL57" s="76">
        <f t="shared" si="30"/>
        <v>2.7995306108494615</v>
      </c>
      <c r="AM57" s="76">
        <f t="shared" si="31"/>
        <v>1.8476902031606448</v>
      </c>
      <c r="AN57" s="76">
        <f t="shared" si="10"/>
        <v>33.370385751725365</v>
      </c>
      <c r="AO57" s="76">
        <f t="shared" si="32"/>
        <v>0.29624779526540906</v>
      </c>
      <c r="AP57" s="78">
        <f t="shared" si="33"/>
        <v>9.8859032061048602</v>
      </c>
      <c r="AQ57" s="78">
        <f t="shared" si="34"/>
        <v>0.79574422470463302</v>
      </c>
      <c r="AR57" s="78">
        <f t="shared" si="11"/>
        <v>13.359328656898461</v>
      </c>
      <c r="AS57" s="78">
        <f t="shared" si="35"/>
        <v>29.390523045176614</v>
      </c>
      <c r="AT57" s="78">
        <f t="shared" si="12"/>
        <v>27.331630413659056</v>
      </c>
      <c r="AU57" s="78">
        <f t="shared" si="36"/>
        <v>60.12958691004993</v>
      </c>
      <c r="AV57" s="78">
        <f t="shared" si="37"/>
        <v>18.038876073014979</v>
      </c>
      <c r="AW57" s="79">
        <f t="shared" si="13"/>
        <v>3258.5758587413306</v>
      </c>
      <c r="AX57" s="79">
        <f t="shared" si="14"/>
        <v>32585.758587413307</v>
      </c>
      <c r="AY57" s="30"/>
      <c r="AZ57" s="1"/>
      <c r="BA57" s="55"/>
      <c r="BB57" s="64"/>
      <c r="BH57" s="67"/>
    </row>
    <row r="58" spans="1:60" x14ac:dyDescent="0.2">
      <c r="A58" s="47" t="s">
        <v>213</v>
      </c>
      <c r="B58" s="47"/>
      <c r="C58" s="48">
        <v>10</v>
      </c>
      <c r="D58" s="48">
        <v>37.1</v>
      </c>
      <c r="E58" s="48">
        <v>76.8</v>
      </c>
      <c r="F58" s="48">
        <v>3.5</v>
      </c>
      <c r="G58" s="48">
        <v>8.5</v>
      </c>
      <c r="H58" s="80">
        <f>'Fiber_Ash Inputs'!V31</f>
        <v>35.6</v>
      </c>
      <c r="I58" s="80">
        <f>'Fiber_Ash Inputs'!W31</f>
        <v>64.2</v>
      </c>
      <c r="J58" s="80">
        <f>'Fiber_Ash Inputs'!X31</f>
        <v>7.9</v>
      </c>
      <c r="K58" s="80">
        <f>'Fiber_Ash Inputs'!U31</f>
        <v>3.8</v>
      </c>
      <c r="L58" s="76">
        <f t="shared" si="15"/>
        <v>24.35079535546226</v>
      </c>
      <c r="M58" s="76">
        <f t="shared" si="16"/>
        <v>94.616843393682686</v>
      </c>
      <c r="N58" s="76">
        <f t="shared" si="17"/>
        <v>22.191011235955056</v>
      </c>
      <c r="O58" s="76">
        <f t="shared" si="18"/>
        <v>22.191011235955056</v>
      </c>
      <c r="P58" s="76">
        <f>(100*((LN((100-O58)-I58)-4.6052)/-'Fiber_Ash Inputs'!$D$17))*'Fiber_Ash Inputs'!$C$17</f>
        <v>7.3869240261072449</v>
      </c>
      <c r="Q58" s="76">
        <f t="shared" si="19"/>
        <v>58.830414718402729</v>
      </c>
      <c r="R58" s="76">
        <f>IF('Fiber_Ash Inputs'!$B$11=30,MILK2024_Imperial!I58,IF('Fiber_Ash Inputs'!$B$11=48,MILK2024_Imperial!I58*0.926))</f>
        <v>64.2</v>
      </c>
      <c r="S58" s="76">
        <f t="shared" si="20"/>
        <v>6.5449999999999999</v>
      </c>
      <c r="T58" s="76">
        <f t="shared" si="21"/>
        <v>1.9635</v>
      </c>
      <c r="U58" s="46">
        <f t="shared" si="22"/>
        <v>2.5</v>
      </c>
      <c r="V58" s="77">
        <f t="shared" si="23"/>
        <v>12.5</v>
      </c>
      <c r="W58" s="76">
        <f>((G58*0.3+MILK2024_Imperial!$J$22*0.7)/100)*MILK2024_Imperial!AT58</f>
        <v>4.6758389555648536</v>
      </c>
      <c r="X58" s="76">
        <f>((S58*0.3+MILK2024_Imperial!$L$22*0.7)/100)*MILK2024_Imperial!AT58</f>
        <v>2.8978227729856467</v>
      </c>
      <c r="Y58" s="76">
        <f>((T58*0.3+MILK2024_Imperial!$M$22*0.7)/100)*MILK2024_Imperial!AT58</f>
        <v>1.4506557840585479</v>
      </c>
      <c r="Z58" s="76">
        <f t="shared" si="24"/>
        <v>3.4717631192996379</v>
      </c>
      <c r="AA58" s="76">
        <f t="shared" si="25"/>
        <v>1.0415289357898914</v>
      </c>
      <c r="AB58" s="76">
        <f>AA58+MILK2024_Imperial!$U$32</f>
        <v>3.5085532287640468</v>
      </c>
      <c r="AC58" s="76">
        <f>($AC$10*0.2)/(MILK2024_Imperial!AT58)</f>
        <v>2.1952587200950457</v>
      </c>
      <c r="AD58" s="76">
        <f t="shared" si="26"/>
        <v>15.518325182771083</v>
      </c>
      <c r="AE58" s="76">
        <f t="shared" si="27"/>
        <v>3.2712714797128535</v>
      </c>
      <c r="AF58" s="46">
        <f>(AC58*MILK2024_Imperial!AT58)/1000</f>
        <v>6.0000000000000005E-2</v>
      </c>
      <c r="AG58" s="76">
        <f>(AD58*MILK2024_Imperial!AT58)/1000</f>
        <v>0.42414112853447733</v>
      </c>
      <c r="AH58" s="76">
        <f t="shared" si="28"/>
        <v>0.82644793057097388</v>
      </c>
      <c r="AI58" s="50">
        <f t="shared" si="29"/>
        <v>354.29398856155473</v>
      </c>
      <c r="AJ58" s="76">
        <f>(0.0146*AI58)/MILK2024_Imperial!AT58</f>
        <v>0.18925662884763844</v>
      </c>
      <c r="AK58" s="76">
        <f>(0.294*MILK2024_Imperial!AT58-0.347*(U58*0.3+MILK2024_Imperial!$U$17*0.7)+0.0409*(H58*0.3+$F$22*0.7))/MILK2024_Imperial!AT58</f>
        <v>0.28296826901575345</v>
      </c>
      <c r="AL58" s="76">
        <f t="shared" si="30"/>
        <v>2.7990465818494616</v>
      </c>
      <c r="AM58" s="76">
        <f t="shared" si="31"/>
        <v>1.8473707440206448</v>
      </c>
      <c r="AN58" s="76">
        <f t="shared" si="10"/>
        <v>33.361654412578616</v>
      </c>
      <c r="AO58" s="76">
        <f t="shared" si="32"/>
        <v>0.29685424956679063</v>
      </c>
      <c r="AP58" s="78">
        <f t="shared" si="33"/>
        <v>9.9035488849526345</v>
      </c>
      <c r="AQ58" s="78">
        <f t="shared" si="34"/>
        <v>0.79716457515126071</v>
      </c>
      <c r="AR58" s="78">
        <f t="shared" si="11"/>
        <v>13.383174168854911</v>
      </c>
      <c r="AS58" s="78">
        <f t="shared" si="35"/>
        <v>29.442983171480805</v>
      </c>
      <c r="AT58" s="78">
        <f t="shared" si="12"/>
        <v>27.331630413659056</v>
      </c>
      <c r="AU58" s="78">
        <f t="shared" si="36"/>
        <v>60.12958691004993</v>
      </c>
      <c r="AV58" s="78">
        <f t="shared" si="37"/>
        <v>18.038876073014979</v>
      </c>
      <c r="AW58" s="79">
        <f t="shared" si="13"/>
        <v>3264.3921996366116</v>
      </c>
      <c r="AX58" s="79">
        <f t="shared" si="14"/>
        <v>32643.921996366116</v>
      </c>
      <c r="AY58" s="30"/>
      <c r="AZ58" s="1"/>
      <c r="BA58" s="55"/>
      <c r="BB58" s="64"/>
      <c r="BH58" s="67"/>
    </row>
    <row r="59" spans="1:60" x14ac:dyDescent="0.2">
      <c r="A59" s="47" t="s">
        <v>214</v>
      </c>
      <c r="B59" s="47"/>
      <c r="C59" s="48">
        <v>10</v>
      </c>
      <c r="D59" s="48">
        <v>37.1</v>
      </c>
      <c r="E59" s="48">
        <v>76.8</v>
      </c>
      <c r="F59" s="48">
        <v>3.5</v>
      </c>
      <c r="G59" s="48">
        <v>7</v>
      </c>
      <c r="H59" s="80">
        <f>'Fiber_Ash Inputs'!V32</f>
        <v>35.6</v>
      </c>
      <c r="I59" s="80">
        <f>'Fiber_Ash Inputs'!W32</f>
        <v>64.2</v>
      </c>
      <c r="J59" s="80">
        <f>'Fiber_Ash Inputs'!X32</f>
        <v>7.9</v>
      </c>
      <c r="K59" s="80">
        <f>'Fiber_Ash Inputs'!U32</f>
        <v>3.8</v>
      </c>
      <c r="L59" s="76">
        <f t="shared" si="15"/>
        <v>24.35079535546226</v>
      </c>
      <c r="M59" s="76">
        <f t="shared" si="16"/>
        <v>94.616843393682686</v>
      </c>
      <c r="N59" s="76">
        <f t="shared" si="17"/>
        <v>22.191011235955056</v>
      </c>
      <c r="O59" s="76">
        <f t="shared" si="18"/>
        <v>22.191011235955056</v>
      </c>
      <c r="P59" s="76">
        <f>(100*((LN((100-O59)-I59)-4.6052)/-'Fiber_Ash Inputs'!$D$17))*'Fiber_Ash Inputs'!$C$17</f>
        <v>7.3869240261072449</v>
      </c>
      <c r="Q59" s="76">
        <f t="shared" si="19"/>
        <v>58.830414718402729</v>
      </c>
      <c r="R59" s="76">
        <f>IF('Fiber_Ash Inputs'!$B$11=30,MILK2024_Imperial!I59,IF('Fiber_Ash Inputs'!$B$11=48,MILK2024_Imperial!I59*0.926))</f>
        <v>64.2</v>
      </c>
      <c r="S59" s="76">
        <f t="shared" si="20"/>
        <v>5.3900000000000006</v>
      </c>
      <c r="T59" s="76">
        <f t="shared" si="21"/>
        <v>1.617</v>
      </c>
      <c r="U59" s="46">
        <f t="shared" si="22"/>
        <v>2.5</v>
      </c>
      <c r="V59" s="77">
        <f t="shared" si="23"/>
        <v>14</v>
      </c>
      <c r="W59" s="76">
        <f>((G59*0.3+MILK2024_Imperial!$J$22*0.7)/100)*MILK2024_Imperial!AT59</f>
        <v>4.5528466187033878</v>
      </c>
      <c r="X59" s="76">
        <f>((S59*0.3+MILK2024_Imperial!$L$22*0.7)/100)*MILK2024_Imperial!AT59</f>
        <v>2.8031186736023184</v>
      </c>
      <c r="Y59" s="76">
        <f>((T59*0.3+MILK2024_Imperial!$M$22*0.7)/100)*MILK2024_Imperial!AT59</f>
        <v>1.4222445542435493</v>
      </c>
      <c r="Z59" s="76">
        <f t="shared" si="24"/>
        <v>3.4415283692996379</v>
      </c>
      <c r="AA59" s="76">
        <f t="shared" si="25"/>
        <v>1.0324585107898914</v>
      </c>
      <c r="AB59" s="76">
        <f>AA59+MILK2024_Imperial!$U$32</f>
        <v>3.4994828037640469</v>
      </c>
      <c r="AC59" s="76">
        <f>($AC$10*0.2)/(MILK2024_Imperial!AT59)</f>
        <v>2.1952587200950457</v>
      </c>
      <c r="AD59" s="76">
        <f t="shared" si="26"/>
        <v>15.518325182771083</v>
      </c>
      <c r="AE59" s="76">
        <f t="shared" si="27"/>
        <v>3.2622010547128535</v>
      </c>
      <c r="AF59" s="46">
        <f>(AC59*MILK2024_Imperial!AT59)/1000</f>
        <v>6.0000000000000005E-2</v>
      </c>
      <c r="AG59" s="76">
        <f>(AD59*MILK2024_Imperial!AT59)/1000</f>
        <v>0.42414112853447733</v>
      </c>
      <c r="AH59" s="76">
        <f t="shared" si="28"/>
        <v>0.82173251432240413</v>
      </c>
      <c r="AI59" s="50">
        <f t="shared" si="29"/>
        <v>334.59553588982249</v>
      </c>
      <c r="AJ59" s="76">
        <f>(0.0146*AI59)/MILK2024_Imperial!AT59</f>
        <v>0.17873411684763851</v>
      </c>
      <c r="AK59" s="76">
        <f>(0.294*MILK2024_Imperial!AT59-0.347*(U59*0.3+MILK2024_Imperial!$U$17*0.7)+0.0409*(H59*0.3+$F$22*0.7))/MILK2024_Imperial!AT59</f>
        <v>0.28296826901575345</v>
      </c>
      <c r="AL59" s="76">
        <f t="shared" si="30"/>
        <v>2.8004986688494613</v>
      </c>
      <c r="AM59" s="76">
        <f t="shared" si="31"/>
        <v>1.8483291214406445</v>
      </c>
      <c r="AN59" s="76">
        <f t="shared" si="10"/>
        <v>33.387848430018849</v>
      </c>
      <c r="AO59" s="76">
        <f t="shared" si="32"/>
        <v>0.29503174288479944</v>
      </c>
      <c r="AP59" s="78">
        <f t="shared" si="33"/>
        <v>9.8504751134819752</v>
      </c>
      <c r="AQ59" s="78">
        <f t="shared" si="34"/>
        <v>0.7928925176315198</v>
      </c>
      <c r="AR59" s="78">
        <f t="shared" si="11"/>
        <v>13.311452856056723</v>
      </c>
      <c r="AS59" s="78">
        <f t="shared" si="35"/>
        <v>29.285196283324794</v>
      </c>
      <c r="AT59" s="78">
        <f t="shared" si="12"/>
        <v>27.331630413659056</v>
      </c>
      <c r="AU59" s="78">
        <f t="shared" si="36"/>
        <v>60.12958691004993</v>
      </c>
      <c r="AV59" s="78">
        <f t="shared" si="37"/>
        <v>18.038876073014979</v>
      </c>
      <c r="AW59" s="79">
        <f t="shared" si="13"/>
        <v>3246.8981065991802</v>
      </c>
      <c r="AX59" s="79">
        <f t="shared" si="14"/>
        <v>32468.9810659918</v>
      </c>
      <c r="AY59" s="30"/>
      <c r="AZ59" s="1"/>
      <c r="BA59" s="55"/>
      <c r="BB59" s="64"/>
      <c r="BH59" s="67"/>
    </row>
    <row r="60" spans="1:60" x14ac:dyDescent="0.2">
      <c r="A60" s="47" t="s">
        <v>215</v>
      </c>
      <c r="B60" s="47"/>
      <c r="C60" s="48">
        <v>10</v>
      </c>
      <c r="D60" s="48">
        <v>37.1</v>
      </c>
      <c r="E60" s="48">
        <v>76.8</v>
      </c>
      <c r="F60" s="48">
        <v>3.5</v>
      </c>
      <c r="G60" s="48">
        <v>6.5</v>
      </c>
      <c r="H60" s="80">
        <f>'Fiber_Ash Inputs'!V33</f>
        <v>35.6</v>
      </c>
      <c r="I60" s="80">
        <f>'Fiber_Ash Inputs'!W33</f>
        <v>64.2</v>
      </c>
      <c r="J60" s="80">
        <f>'Fiber_Ash Inputs'!X33</f>
        <v>7.9</v>
      </c>
      <c r="K60" s="80">
        <f>'Fiber_Ash Inputs'!U33</f>
        <v>3.8</v>
      </c>
      <c r="L60" s="76">
        <f t="shared" si="15"/>
        <v>24.35079535546226</v>
      </c>
      <c r="M60" s="76">
        <f t="shared" si="16"/>
        <v>94.616843393682686</v>
      </c>
      <c r="N60" s="76">
        <f t="shared" si="17"/>
        <v>22.191011235955056</v>
      </c>
      <c r="O60" s="76">
        <f t="shared" si="18"/>
        <v>22.191011235955056</v>
      </c>
      <c r="P60" s="76">
        <f>(100*((LN((100-O60)-I60)-4.6052)/-'Fiber_Ash Inputs'!$D$17))*'Fiber_Ash Inputs'!$C$17</f>
        <v>7.3869240261072449</v>
      </c>
      <c r="Q60" s="76">
        <f t="shared" si="19"/>
        <v>58.830414718402729</v>
      </c>
      <c r="R60" s="76">
        <f>IF('Fiber_Ash Inputs'!$B$11=30,MILK2024_Imperial!I60,IF('Fiber_Ash Inputs'!$B$11=48,MILK2024_Imperial!I60*0.926))</f>
        <v>64.2</v>
      </c>
      <c r="S60" s="76">
        <f t="shared" si="20"/>
        <v>5.0049999999999999</v>
      </c>
      <c r="T60" s="76">
        <f t="shared" si="21"/>
        <v>1.5014999999999998</v>
      </c>
      <c r="U60" s="46">
        <f t="shared" si="22"/>
        <v>2.5</v>
      </c>
      <c r="V60" s="77">
        <f t="shared" si="23"/>
        <v>14.5</v>
      </c>
      <c r="W60" s="76">
        <f>((G60*0.3+MILK2024_Imperial!$J$22*0.7)/100)*MILK2024_Imperial!AT60</f>
        <v>4.5118491730828989</v>
      </c>
      <c r="X60" s="76">
        <f>((S60*0.3+MILK2024_Imperial!$L$22*0.7)/100)*MILK2024_Imperial!AT60</f>
        <v>2.7715506404745418</v>
      </c>
      <c r="Y60" s="76">
        <f>((T60*0.3+MILK2024_Imperial!$M$22*0.7)/100)*MILK2024_Imperial!AT60</f>
        <v>1.4127741443052166</v>
      </c>
      <c r="Z60" s="76">
        <f t="shared" si="24"/>
        <v>3.4314501192996376</v>
      </c>
      <c r="AA60" s="76">
        <f t="shared" si="25"/>
        <v>1.0294350357898912</v>
      </c>
      <c r="AB60" s="76">
        <f>AA60+MILK2024_Imperial!$U$32</f>
        <v>3.4964593287640469</v>
      </c>
      <c r="AC60" s="76">
        <f>($AC$10*0.2)/(MILK2024_Imperial!AT60)</f>
        <v>2.1952587200950457</v>
      </c>
      <c r="AD60" s="76">
        <f t="shared" si="26"/>
        <v>15.518325182771083</v>
      </c>
      <c r="AE60" s="76">
        <f t="shared" si="27"/>
        <v>3.2591775797128535</v>
      </c>
      <c r="AF60" s="46">
        <f>(AC60*MILK2024_Imperial!AT60)/1000</f>
        <v>6.0000000000000005E-2</v>
      </c>
      <c r="AG60" s="76">
        <f>(AD60*MILK2024_Imperial!AT60)/1000</f>
        <v>0.42414112853447733</v>
      </c>
      <c r="AH60" s="76">
        <f t="shared" si="28"/>
        <v>0.82010357933064171</v>
      </c>
      <c r="AI60" s="50">
        <f t="shared" si="29"/>
        <v>328.029384999245</v>
      </c>
      <c r="AJ60" s="76">
        <f>(0.0146*AI60)/MILK2024_Imperial!AT60</f>
        <v>0.17522661284763852</v>
      </c>
      <c r="AK60" s="76">
        <f>(0.294*MILK2024_Imperial!AT60-0.347*(U60*0.3+MILK2024_Imperial!$U$17*0.7)+0.0409*(H60*0.3+$F$22*0.7))/MILK2024_Imperial!AT60</f>
        <v>0.28296826901575345</v>
      </c>
      <c r="AL60" s="76">
        <f t="shared" si="30"/>
        <v>2.8009826978494612</v>
      </c>
      <c r="AM60" s="76">
        <f t="shared" si="31"/>
        <v>1.8486485805806445</v>
      </c>
      <c r="AN60" s="76">
        <f t="shared" si="10"/>
        <v>33.396579769165591</v>
      </c>
      <c r="AO60" s="76">
        <f t="shared" si="32"/>
        <v>0.29442213936856604</v>
      </c>
      <c r="AP60" s="78">
        <f t="shared" si="33"/>
        <v>9.8326924632307051</v>
      </c>
      <c r="AQ60" s="78">
        <f t="shared" si="34"/>
        <v>0.79146114197040141</v>
      </c>
      <c r="AR60" s="78">
        <f t="shared" si="11"/>
        <v>13.287422247609062</v>
      </c>
      <c r="AS60" s="78">
        <f t="shared" si="35"/>
        <v>29.232328944739937</v>
      </c>
      <c r="AT60" s="78">
        <f t="shared" si="12"/>
        <v>27.331630413659056</v>
      </c>
      <c r="AU60" s="78">
        <f t="shared" si="36"/>
        <v>60.12958691004993</v>
      </c>
      <c r="AV60" s="78">
        <f t="shared" si="37"/>
        <v>18.038876073014979</v>
      </c>
      <c r="AW60" s="79">
        <f t="shared" si="13"/>
        <v>3241.0366174054111</v>
      </c>
      <c r="AX60" s="79">
        <f t="shared" si="14"/>
        <v>32410.36617405411</v>
      </c>
      <c r="AY60" s="30"/>
      <c r="AZ60" s="1"/>
      <c r="BA60" s="55"/>
      <c r="BB60" s="64"/>
    </row>
    <row r="61" spans="1:60" x14ac:dyDescent="0.2">
      <c r="A61" s="47" t="s">
        <v>216</v>
      </c>
      <c r="B61" s="47"/>
      <c r="C61" s="48">
        <v>10</v>
      </c>
      <c r="D61" s="48">
        <v>37.1</v>
      </c>
      <c r="E61" s="48">
        <v>76.8</v>
      </c>
      <c r="F61" s="48">
        <v>3.5</v>
      </c>
      <c r="G61" s="48">
        <v>7.4</v>
      </c>
      <c r="H61" s="80">
        <f>'Fiber_Ash Inputs'!V34</f>
        <v>35.6</v>
      </c>
      <c r="I61" s="80">
        <f>'Fiber_Ash Inputs'!W34</f>
        <v>64.2</v>
      </c>
      <c r="J61" s="80">
        <f>'Fiber_Ash Inputs'!X34</f>
        <v>7.9</v>
      </c>
      <c r="K61" s="80">
        <f>'Fiber_Ash Inputs'!U34</f>
        <v>4.5</v>
      </c>
      <c r="L61" s="76">
        <f t="shared" si="15"/>
        <v>24.35079535546226</v>
      </c>
      <c r="M61" s="76">
        <f t="shared" si="16"/>
        <v>94.616843393682686</v>
      </c>
      <c r="N61" s="76">
        <f t="shared" si="17"/>
        <v>22.191011235955056</v>
      </c>
      <c r="O61" s="76">
        <f t="shared" si="18"/>
        <v>22.191011235955056</v>
      </c>
      <c r="P61" s="76">
        <f>(100*((LN((100-O61)-I61)-4.6052)/-'Fiber_Ash Inputs'!$D$17))*'Fiber_Ash Inputs'!$C$17</f>
        <v>7.3869240261072449</v>
      </c>
      <c r="Q61" s="76">
        <f t="shared" si="19"/>
        <v>58.830414718402729</v>
      </c>
      <c r="R61" s="76">
        <f>IF('Fiber_Ash Inputs'!$B$11=30,MILK2024_Imperial!I61,IF('Fiber_Ash Inputs'!$B$11=48,MILK2024_Imperial!I61*0.926))</f>
        <v>64.2</v>
      </c>
      <c r="S61" s="76">
        <f t="shared" si="20"/>
        <v>5.6980000000000004</v>
      </c>
      <c r="T61" s="76">
        <f t="shared" si="21"/>
        <v>1.7094</v>
      </c>
      <c r="U61" s="46">
        <f t="shared" si="22"/>
        <v>2.5</v>
      </c>
      <c r="V61" s="77">
        <f t="shared" si="23"/>
        <v>12.899999999999997</v>
      </c>
      <c r="W61" s="76">
        <f>((G61*0.3+MILK2024_Imperial!$J$22*0.7)/100)*MILK2024_Imperial!AT61</f>
        <v>4.5856445751997779</v>
      </c>
      <c r="X61" s="76">
        <f>((S61*0.3+MILK2024_Imperial!$L$22*0.7)/100)*MILK2024_Imperial!AT61</f>
        <v>2.8283731001045389</v>
      </c>
      <c r="Y61" s="76">
        <f>((T61*0.3+MILK2024_Imperial!$M$22*0.7)/100)*MILK2024_Imperial!AT61</f>
        <v>1.4298208821942155</v>
      </c>
      <c r="Z61" s="76">
        <f t="shared" si="24"/>
        <v>3.4241109692996377</v>
      </c>
      <c r="AA61" s="76">
        <f t="shared" si="25"/>
        <v>1.0272332907898913</v>
      </c>
      <c r="AB61" s="76">
        <f>AA61+MILK2024_Imperial!$U$32</f>
        <v>3.494257583764047</v>
      </c>
      <c r="AC61" s="76">
        <f>($AC$10*0.2)/(MILK2024_Imperial!AT61)</f>
        <v>2.1952587200950457</v>
      </c>
      <c r="AD61" s="76">
        <f t="shared" si="26"/>
        <v>15.518325182771083</v>
      </c>
      <c r="AE61" s="76">
        <f t="shared" si="27"/>
        <v>3.2569758347128537</v>
      </c>
      <c r="AF61" s="46">
        <f>(AC61*MILK2024_Imperial!AT61)/1000</f>
        <v>6.0000000000000005E-2</v>
      </c>
      <c r="AG61" s="76">
        <f>(AD61*MILK2024_Imperial!AT61)/1000</f>
        <v>0.42414112853447733</v>
      </c>
      <c r="AH61" s="76">
        <f t="shared" si="28"/>
        <v>0.82301469114619663</v>
      </c>
      <c r="AI61" s="50">
        <f t="shared" si="29"/>
        <v>339.84845660228433</v>
      </c>
      <c r="AJ61" s="76">
        <f>(0.0146*AI61)/MILK2024_Imperial!AT61</f>
        <v>0.18154012004763848</v>
      </c>
      <c r="AK61" s="76">
        <f>(0.294*MILK2024_Imperial!AT61-0.347*(U61*0.3+MILK2024_Imperial!$U$17*0.7)+0.0409*(H61*0.3+$F$22*0.7))/MILK2024_Imperial!AT61</f>
        <v>0.28296826901575345</v>
      </c>
      <c r="AL61" s="76">
        <f t="shared" si="30"/>
        <v>2.7924674456494616</v>
      </c>
      <c r="AM61" s="76">
        <f t="shared" si="31"/>
        <v>1.8430285141286447</v>
      </c>
      <c r="AN61" s="76">
        <f t="shared" si="10"/>
        <v>33.24297418999933</v>
      </c>
      <c r="AO61" s="76">
        <f t="shared" si="32"/>
        <v>0.29397755207369286</v>
      </c>
      <c r="AP61" s="78">
        <f t="shared" si="33"/>
        <v>9.7726881760249551</v>
      </c>
      <c r="AQ61" s="78">
        <f t="shared" si="34"/>
        <v>0.78663122769691285</v>
      </c>
      <c r="AR61" s="78">
        <f t="shared" si="11"/>
        <v>13.206335373006697</v>
      </c>
      <c r="AS61" s="78">
        <f t="shared" si="35"/>
        <v>29.053937820614735</v>
      </c>
      <c r="AT61" s="78">
        <f t="shared" si="12"/>
        <v>27.331630413659056</v>
      </c>
      <c r="AU61" s="78">
        <f t="shared" si="36"/>
        <v>60.12958691004993</v>
      </c>
      <c r="AV61" s="78">
        <f t="shared" si="37"/>
        <v>18.038876073014979</v>
      </c>
      <c r="AW61" s="79">
        <f t="shared" si="13"/>
        <v>3221.2580986769563</v>
      </c>
      <c r="AX61" s="79">
        <f t="shared" si="14"/>
        <v>32212.580986769564</v>
      </c>
      <c r="AY61" s="30"/>
      <c r="AZ61" s="1"/>
      <c r="BA61" s="55"/>
      <c r="BB61" s="64"/>
    </row>
    <row r="62" spans="1:60" x14ac:dyDescent="0.2">
      <c r="A62" s="47" t="s">
        <v>217</v>
      </c>
      <c r="B62" s="47"/>
      <c r="C62" s="48">
        <v>10</v>
      </c>
      <c r="D62" s="48">
        <v>37.1</v>
      </c>
      <c r="E62" s="48">
        <v>76.8</v>
      </c>
      <c r="F62" s="48">
        <v>3.5</v>
      </c>
      <c r="G62" s="48">
        <v>7.4</v>
      </c>
      <c r="H62" s="80">
        <f>'Fiber_Ash Inputs'!V35</f>
        <v>35.6</v>
      </c>
      <c r="I62" s="80">
        <f>'Fiber_Ash Inputs'!W35</f>
        <v>64.2</v>
      </c>
      <c r="J62" s="80">
        <f>'Fiber_Ash Inputs'!X35</f>
        <v>7.9</v>
      </c>
      <c r="K62" s="80">
        <f>'Fiber_Ash Inputs'!U35</f>
        <v>5</v>
      </c>
      <c r="L62" s="76">
        <f t="shared" si="15"/>
        <v>24.35079535546226</v>
      </c>
      <c r="M62" s="76">
        <f t="shared" si="16"/>
        <v>94.616843393682686</v>
      </c>
      <c r="N62" s="76">
        <f t="shared" si="17"/>
        <v>22.191011235955056</v>
      </c>
      <c r="O62" s="76">
        <f t="shared" si="18"/>
        <v>22.191011235955056</v>
      </c>
      <c r="P62" s="76">
        <f>(100*((LN((100-O62)-I62)-4.6052)/-'Fiber_Ash Inputs'!$D$17))*'Fiber_Ash Inputs'!$C$17</f>
        <v>7.3869240261072449</v>
      </c>
      <c r="Q62" s="76">
        <f t="shared" si="19"/>
        <v>58.830414718402729</v>
      </c>
      <c r="R62" s="76">
        <f>IF('Fiber_Ash Inputs'!$B$11=30,MILK2024_Imperial!I62,IF('Fiber_Ash Inputs'!$B$11=48,MILK2024_Imperial!I62*0.926))</f>
        <v>64.2</v>
      </c>
      <c r="S62" s="76">
        <f t="shared" si="20"/>
        <v>5.6980000000000004</v>
      </c>
      <c r="T62" s="76">
        <f t="shared" si="21"/>
        <v>1.7094</v>
      </c>
      <c r="U62" s="46">
        <f t="shared" si="22"/>
        <v>2.5</v>
      </c>
      <c r="V62" s="77">
        <f t="shared" si="23"/>
        <v>12.399999999999997</v>
      </c>
      <c r="W62" s="76">
        <f>((G62*0.3+MILK2024_Imperial!$J$22*0.7)/100)*MILK2024_Imperial!AT62</f>
        <v>4.5856445751997779</v>
      </c>
      <c r="X62" s="76">
        <f>((S62*0.3+MILK2024_Imperial!$L$22*0.7)/100)*MILK2024_Imperial!AT62</f>
        <v>2.8283731001045389</v>
      </c>
      <c r="Y62" s="76">
        <f>((T62*0.3+MILK2024_Imperial!$M$22*0.7)/100)*MILK2024_Imperial!AT62</f>
        <v>1.4298208821942155</v>
      </c>
      <c r="Z62" s="76">
        <f t="shared" si="24"/>
        <v>3.4059109692996374</v>
      </c>
      <c r="AA62" s="76">
        <f t="shared" si="25"/>
        <v>1.0217732907898911</v>
      </c>
      <c r="AB62" s="76">
        <f>AA62+MILK2024_Imperial!$U$32</f>
        <v>3.4887975837640468</v>
      </c>
      <c r="AC62" s="76">
        <f>($AC$10*0.2)/(MILK2024_Imperial!AT62)</f>
        <v>2.1952587200950457</v>
      </c>
      <c r="AD62" s="76">
        <f t="shared" si="26"/>
        <v>15.518325182771083</v>
      </c>
      <c r="AE62" s="76">
        <f t="shared" si="27"/>
        <v>3.2515158347128534</v>
      </c>
      <c r="AF62" s="46">
        <f>(AC62*MILK2024_Imperial!AT62)/1000</f>
        <v>6.0000000000000005E-2</v>
      </c>
      <c r="AG62" s="76">
        <f>(AD62*MILK2024_Imperial!AT62)/1000</f>
        <v>0.42414112853447733</v>
      </c>
      <c r="AH62" s="76">
        <f t="shared" si="28"/>
        <v>0.82301469114619663</v>
      </c>
      <c r="AI62" s="50">
        <f t="shared" si="29"/>
        <v>339.84845660228433</v>
      </c>
      <c r="AJ62" s="76">
        <f>(0.0146*AI62)/MILK2024_Imperial!AT62</f>
        <v>0.18154012004763848</v>
      </c>
      <c r="AK62" s="76">
        <f>(0.294*MILK2024_Imperial!AT62-0.347*(U62*0.3+MILK2024_Imperial!$U$17*0.7)+0.0409*(H62*0.3+$F$22*0.7))/MILK2024_Imperial!AT62</f>
        <v>0.28296826901575345</v>
      </c>
      <c r="AL62" s="76">
        <f t="shared" si="30"/>
        <v>2.7870074456494613</v>
      </c>
      <c r="AM62" s="76">
        <f t="shared" si="31"/>
        <v>1.8394249141286445</v>
      </c>
      <c r="AN62" s="76">
        <f t="shared" si="10"/>
        <v>33.144481926640665</v>
      </c>
      <c r="AO62" s="76">
        <f t="shared" si="32"/>
        <v>0.29287262051113461</v>
      </c>
      <c r="AP62" s="78">
        <f t="shared" si="33"/>
        <v>9.707111277339191</v>
      </c>
      <c r="AQ62" s="78">
        <f t="shared" si="34"/>
        <v>0.78135275821210004</v>
      </c>
      <c r="AR62" s="78">
        <f t="shared" si="11"/>
        <v>13.117717942350259</v>
      </c>
      <c r="AS62" s="78">
        <f t="shared" si="35"/>
        <v>28.858979473170571</v>
      </c>
      <c r="AT62" s="78">
        <f t="shared" si="12"/>
        <v>27.331630413659056</v>
      </c>
      <c r="AU62" s="78">
        <f t="shared" si="36"/>
        <v>60.12958691004993</v>
      </c>
      <c r="AV62" s="78">
        <f t="shared" si="37"/>
        <v>18.038876073014979</v>
      </c>
      <c r="AW62" s="79">
        <f t="shared" si="13"/>
        <v>3199.6427445212935</v>
      </c>
      <c r="AX62" s="79">
        <f t="shared" si="14"/>
        <v>31996.427445212936</v>
      </c>
      <c r="AY62" s="30"/>
      <c r="AZ62" s="1"/>
      <c r="BA62" s="55"/>
      <c r="BB62" s="64"/>
    </row>
    <row r="63" spans="1:60" x14ac:dyDescent="0.2">
      <c r="A63" s="47" t="s">
        <v>218</v>
      </c>
      <c r="B63" s="47"/>
      <c r="C63" s="48">
        <v>10</v>
      </c>
      <c r="D63" s="48">
        <v>37.1</v>
      </c>
      <c r="E63" s="48">
        <v>76.8</v>
      </c>
      <c r="F63" s="48">
        <v>3.5</v>
      </c>
      <c r="G63" s="48">
        <v>7.4</v>
      </c>
      <c r="H63" s="80">
        <f>'Fiber_Ash Inputs'!V36</f>
        <v>35.6</v>
      </c>
      <c r="I63" s="80">
        <f>'Fiber_Ash Inputs'!W36</f>
        <v>64.2</v>
      </c>
      <c r="J63" s="80">
        <f>'Fiber_Ash Inputs'!X36</f>
        <v>7.9</v>
      </c>
      <c r="K63" s="80">
        <f>'Fiber_Ash Inputs'!U36</f>
        <v>3.5</v>
      </c>
      <c r="L63" s="76">
        <f t="shared" si="15"/>
        <v>24.35079535546226</v>
      </c>
      <c r="M63" s="76">
        <f t="shared" si="16"/>
        <v>94.616843393682686</v>
      </c>
      <c r="N63" s="76">
        <f t="shared" si="17"/>
        <v>22.191011235955056</v>
      </c>
      <c r="O63" s="76">
        <f t="shared" si="18"/>
        <v>22.191011235955056</v>
      </c>
      <c r="P63" s="76">
        <f>(100*((LN((100-O63)-I63)-4.6052)/-'Fiber_Ash Inputs'!$D$17))*'Fiber_Ash Inputs'!$C$17</f>
        <v>7.3869240261072449</v>
      </c>
      <c r="Q63" s="76">
        <f t="shared" si="19"/>
        <v>58.830414718402729</v>
      </c>
      <c r="R63" s="76">
        <f>IF('Fiber_Ash Inputs'!$B$11=30,MILK2024_Imperial!I63,IF('Fiber_Ash Inputs'!$B$11=48,MILK2024_Imperial!I63*0.926))</f>
        <v>64.2</v>
      </c>
      <c r="S63" s="76">
        <f t="shared" si="20"/>
        <v>5.6980000000000004</v>
      </c>
      <c r="T63" s="76">
        <f t="shared" si="21"/>
        <v>1.7094</v>
      </c>
      <c r="U63" s="46">
        <f t="shared" si="22"/>
        <v>2.5</v>
      </c>
      <c r="V63" s="77">
        <f t="shared" si="23"/>
        <v>13.899999999999997</v>
      </c>
      <c r="W63" s="76">
        <f>((G63*0.3+MILK2024_Imperial!$J$22*0.7)/100)*MILK2024_Imperial!AT63</f>
        <v>4.5856445751997779</v>
      </c>
      <c r="X63" s="76">
        <f>((S63*0.3+MILK2024_Imperial!$L$22*0.7)/100)*MILK2024_Imperial!AT63</f>
        <v>2.8283731001045389</v>
      </c>
      <c r="Y63" s="76">
        <f>((T63*0.3+MILK2024_Imperial!$M$22*0.7)/100)*MILK2024_Imperial!AT63</f>
        <v>1.4298208821942155</v>
      </c>
      <c r="Z63" s="76">
        <f t="shared" si="24"/>
        <v>3.4605109692996376</v>
      </c>
      <c r="AA63" s="76">
        <f t="shared" si="25"/>
        <v>1.0381532907898912</v>
      </c>
      <c r="AB63" s="76">
        <f>AA63+MILK2024_Imperial!$U$32</f>
        <v>3.5051775837640466</v>
      </c>
      <c r="AC63" s="76">
        <f>($AC$10*0.2)/(MILK2024_Imperial!AT63)</f>
        <v>2.1952587200950457</v>
      </c>
      <c r="AD63" s="76">
        <f t="shared" si="26"/>
        <v>15.518325182771083</v>
      </c>
      <c r="AE63" s="76">
        <f t="shared" si="27"/>
        <v>3.2678958347128533</v>
      </c>
      <c r="AF63" s="46">
        <f>(AC63*MILK2024_Imperial!AT63)/1000</f>
        <v>6.0000000000000005E-2</v>
      </c>
      <c r="AG63" s="76">
        <f>(AD63*MILK2024_Imperial!AT63)/1000</f>
        <v>0.42414112853447733</v>
      </c>
      <c r="AH63" s="76">
        <f t="shared" si="28"/>
        <v>0.82301469114619663</v>
      </c>
      <c r="AI63" s="50">
        <f t="shared" si="29"/>
        <v>339.84845660228433</v>
      </c>
      <c r="AJ63" s="76">
        <f>(0.0146*AI63)/MILK2024_Imperial!AT63</f>
        <v>0.18154012004763848</v>
      </c>
      <c r="AK63" s="76">
        <f>(0.294*MILK2024_Imperial!AT63-0.347*(U63*0.3+MILK2024_Imperial!$U$17*0.7)+0.0409*(H63*0.3+$F$22*0.7))/MILK2024_Imperial!AT63</f>
        <v>0.28296826901575345</v>
      </c>
      <c r="AL63" s="76">
        <f t="shared" si="30"/>
        <v>2.8033874456494612</v>
      </c>
      <c r="AM63" s="76">
        <f t="shared" si="31"/>
        <v>1.8502357141286445</v>
      </c>
      <c r="AN63" s="76">
        <f t="shared" si="10"/>
        <v>33.439958716716646</v>
      </c>
      <c r="AO63" s="76">
        <f t="shared" si="32"/>
        <v>0.29617708831604095</v>
      </c>
      <c r="AP63" s="78">
        <f t="shared" si="33"/>
        <v>9.904149606125749</v>
      </c>
      <c r="AQ63" s="78">
        <f t="shared" si="34"/>
        <v>0.7972129288923604</v>
      </c>
      <c r="AR63" s="78">
        <f t="shared" si="11"/>
        <v>13.383985954223986</v>
      </c>
      <c r="AS63" s="78">
        <f t="shared" si="35"/>
        <v>29.44476909929277</v>
      </c>
      <c r="AT63" s="78">
        <f t="shared" si="12"/>
        <v>27.331630413659056</v>
      </c>
      <c r="AU63" s="78">
        <f t="shared" si="36"/>
        <v>60.12958691004993</v>
      </c>
      <c r="AV63" s="78">
        <f t="shared" si="37"/>
        <v>18.038876073014979</v>
      </c>
      <c r="AW63" s="79">
        <f t="shared" si="13"/>
        <v>3264.5902084044237</v>
      </c>
      <c r="AX63" s="79">
        <f t="shared" si="14"/>
        <v>32645.902084044239</v>
      </c>
      <c r="AY63" s="30"/>
      <c r="AZ63" s="1"/>
      <c r="BA63" s="55"/>
      <c r="BB63" s="64"/>
    </row>
    <row r="64" spans="1:60" x14ac:dyDescent="0.2">
      <c r="A64" s="47" t="s">
        <v>219</v>
      </c>
      <c r="B64" s="47"/>
      <c r="C64" s="48">
        <v>10</v>
      </c>
      <c r="D64" s="48">
        <v>37.1</v>
      </c>
      <c r="E64" s="48">
        <v>76.8</v>
      </c>
      <c r="F64" s="48">
        <v>3.5</v>
      </c>
      <c r="G64" s="48">
        <v>7.4</v>
      </c>
      <c r="H64" s="80">
        <f>'Fiber_Ash Inputs'!V37</f>
        <v>35.6</v>
      </c>
      <c r="I64" s="80">
        <f>'Fiber_Ash Inputs'!W37</f>
        <v>64.2</v>
      </c>
      <c r="J64" s="80">
        <f>'Fiber_Ash Inputs'!X37</f>
        <v>7.9</v>
      </c>
      <c r="K64" s="80">
        <f>'Fiber_Ash Inputs'!U37</f>
        <v>3</v>
      </c>
      <c r="L64" s="76">
        <f t="shared" si="15"/>
        <v>24.35079535546226</v>
      </c>
      <c r="M64" s="76">
        <f t="shared" si="16"/>
        <v>94.616843393682686</v>
      </c>
      <c r="N64" s="76">
        <f t="shared" si="17"/>
        <v>22.191011235955056</v>
      </c>
      <c r="O64" s="76">
        <f t="shared" si="18"/>
        <v>22.191011235955056</v>
      </c>
      <c r="P64" s="76">
        <f>(100*((LN((100-O64)-I64)-4.6052)/-'Fiber_Ash Inputs'!$D$17))*'Fiber_Ash Inputs'!$C$17</f>
        <v>7.3869240261072449</v>
      </c>
      <c r="Q64" s="76">
        <f t="shared" si="19"/>
        <v>58.830414718402729</v>
      </c>
      <c r="R64" s="76">
        <f>IF('Fiber_Ash Inputs'!$B$11=30,MILK2024_Imperial!I64,IF('Fiber_Ash Inputs'!$B$11=48,MILK2024_Imperial!I64*0.926))</f>
        <v>64.2</v>
      </c>
      <c r="S64" s="76">
        <f t="shared" si="20"/>
        <v>5.6980000000000004</v>
      </c>
      <c r="T64" s="76">
        <f t="shared" si="21"/>
        <v>1.7094</v>
      </c>
      <c r="U64" s="46">
        <f t="shared" si="22"/>
        <v>2.5</v>
      </c>
      <c r="V64" s="77">
        <f t="shared" si="23"/>
        <v>14.399999999999997</v>
      </c>
      <c r="W64" s="76">
        <f>((G64*0.3+MILK2024_Imperial!$J$22*0.7)/100)*MILK2024_Imperial!AT64</f>
        <v>4.5856445751997779</v>
      </c>
      <c r="X64" s="76">
        <f>((S64*0.3+MILK2024_Imperial!$L$22*0.7)/100)*MILK2024_Imperial!AT64</f>
        <v>2.8283731001045389</v>
      </c>
      <c r="Y64" s="76">
        <f>((T64*0.3+MILK2024_Imperial!$M$22*0.7)/100)*MILK2024_Imperial!AT64</f>
        <v>1.4298208821942155</v>
      </c>
      <c r="Z64" s="76">
        <f t="shared" si="24"/>
        <v>3.4787109692996374</v>
      </c>
      <c r="AA64" s="76">
        <f t="shared" si="25"/>
        <v>1.0436132907898912</v>
      </c>
      <c r="AB64" s="76">
        <f>AA64+MILK2024_Imperial!$U$32</f>
        <v>3.5106375837640469</v>
      </c>
      <c r="AC64" s="76">
        <f>($AC$10*0.2)/(MILK2024_Imperial!AT64)</f>
        <v>2.1952587200950457</v>
      </c>
      <c r="AD64" s="76">
        <f t="shared" si="26"/>
        <v>15.518325182771083</v>
      </c>
      <c r="AE64" s="76">
        <f t="shared" si="27"/>
        <v>3.2733558347128535</v>
      </c>
      <c r="AF64" s="46">
        <f>(AC64*MILK2024_Imperial!AT64)/1000</f>
        <v>6.0000000000000005E-2</v>
      </c>
      <c r="AG64" s="76">
        <f>(AD64*MILK2024_Imperial!AT64)/1000</f>
        <v>0.42414112853447733</v>
      </c>
      <c r="AH64" s="76">
        <f t="shared" si="28"/>
        <v>0.82301469114619663</v>
      </c>
      <c r="AI64" s="50">
        <f t="shared" si="29"/>
        <v>339.84845660228433</v>
      </c>
      <c r="AJ64" s="76">
        <f>(0.0146*AI64)/MILK2024_Imperial!AT64</f>
        <v>0.18154012004763848</v>
      </c>
      <c r="AK64" s="76">
        <f>(0.294*MILK2024_Imperial!AT64-0.347*(U64*0.3+MILK2024_Imperial!$U$17*0.7)+0.0409*(H64*0.3+$F$22*0.7))/MILK2024_Imperial!AT64</f>
        <v>0.28296826901575345</v>
      </c>
      <c r="AL64" s="76">
        <f t="shared" si="30"/>
        <v>2.8088474456494614</v>
      </c>
      <c r="AM64" s="76">
        <f t="shared" si="31"/>
        <v>1.8538393141286447</v>
      </c>
      <c r="AN64" s="76">
        <f t="shared" si="10"/>
        <v>33.538450980075311</v>
      </c>
      <c r="AO64" s="76">
        <f t="shared" si="32"/>
        <v>0.2972717251180757</v>
      </c>
      <c r="AP64" s="78">
        <f t="shared" si="33"/>
        <v>9.9700331806350047</v>
      </c>
      <c r="AQ64" s="78">
        <f t="shared" si="34"/>
        <v>0.8025160835789511</v>
      </c>
      <c r="AR64" s="78">
        <f t="shared" si="11"/>
        <v>13.473017811668925</v>
      </c>
      <c r="AS64" s="78">
        <f t="shared" si="35"/>
        <v>29.640639185671635</v>
      </c>
      <c r="AT64" s="78">
        <f t="shared" si="12"/>
        <v>27.331630413659056</v>
      </c>
      <c r="AU64" s="78">
        <f t="shared" si="36"/>
        <v>60.12958691004993</v>
      </c>
      <c r="AV64" s="78">
        <f t="shared" si="37"/>
        <v>18.038876073014979</v>
      </c>
      <c r="AW64" s="79">
        <f t="shared" si="13"/>
        <v>3286.3066485624522</v>
      </c>
      <c r="AX64" s="79">
        <f t="shared" si="14"/>
        <v>32863.06648562452</v>
      </c>
      <c r="AY64" s="30"/>
      <c r="AZ64" s="1"/>
      <c r="BA64" s="55"/>
      <c r="BB64" s="64"/>
    </row>
    <row r="65" spans="1:54" x14ac:dyDescent="0.2">
      <c r="A65" s="47" t="s">
        <v>220</v>
      </c>
      <c r="B65" s="47"/>
      <c r="C65" s="48">
        <v>10</v>
      </c>
      <c r="D65" s="48">
        <v>37.1</v>
      </c>
      <c r="E65" s="48">
        <v>76.8</v>
      </c>
      <c r="F65" s="48">
        <v>3.5</v>
      </c>
      <c r="G65" s="48">
        <v>7.4</v>
      </c>
      <c r="H65" s="80">
        <f>'Fiber_Ash Inputs'!V38</f>
        <v>35.6</v>
      </c>
      <c r="I65" s="80">
        <f>'Fiber_Ash Inputs'!W38</f>
        <v>64.2</v>
      </c>
      <c r="J65" s="80">
        <f>'Fiber_Ash Inputs'!X38</f>
        <v>7.9</v>
      </c>
      <c r="K65" s="80">
        <f>'Fiber_Ash Inputs'!U38</f>
        <v>3</v>
      </c>
      <c r="L65" s="76">
        <f t="shared" si="15"/>
        <v>24.35079535546226</v>
      </c>
      <c r="M65" s="76">
        <f t="shared" si="16"/>
        <v>94.616843393682686</v>
      </c>
      <c r="N65" s="76">
        <f t="shared" si="17"/>
        <v>22.191011235955056</v>
      </c>
      <c r="O65" s="76">
        <f t="shared" si="18"/>
        <v>22.191011235955056</v>
      </c>
      <c r="P65" s="76">
        <f>(100*((LN((100-O65)-I65)-4.6052)/-'Fiber_Ash Inputs'!$D$17))*'Fiber_Ash Inputs'!$C$17</f>
        <v>7.3869240261072449</v>
      </c>
      <c r="Q65" s="76">
        <f t="shared" si="19"/>
        <v>58.830414718402729</v>
      </c>
      <c r="R65" s="76">
        <f>IF('Fiber_Ash Inputs'!$B$11=30,MILK2024_Imperial!I65,IF('Fiber_Ash Inputs'!$B$11=48,MILK2024_Imperial!I65*0.926))</f>
        <v>64.2</v>
      </c>
      <c r="S65" s="76">
        <f t="shared" si="20"/>
        <v>5.6980000000000004</v>
      </c>
      <c r="T65" s="76">
        <f t="shared" si="21"/>
        <v>1.7094</v>
      </c>
      <c r="U65" s="46">
        <f t="shared" si="22"/>
        <v>2.5</v>
      </c>
      <c r="V65" s="77">
        <f t="shared" si="23"/>
        <v>14.399999999999997</v>
      </c>
      <c r="W65" s="76">
        <f>((G65*0.3+MILK2024_Imperial!$J$22*0.7)/100)*MILK2024_Imperial!AT65</f>
        <v>4.5856445751997779</v>
      </c>
      <c r="X65" s="76">
        <f>((S65*0.3+MILK2024_Imperial!$L$22*0.7)/100)*MILK2024_Imperial!AT65</f>
        <v>2.8283731001045389</v>
      </c>
      <c r="Y65" s="76">
        <f>((T65*0.3+MILK2024_Imperial!$M$22*0.7)/100)*MILK2024_Imperial!AT65</f>
        <v>1.4298208821942155</v>
      </c>
      <c r="Z65" s="76">
        <f t="shared" si="24"/>
        <v>3.4787109692996374</v>
      </c>
      <c r="AA65" s="76">
        <f t="shared" si="25"/>
        <v>1.0436132907898912</v>
      </c>
      <c r="AB65" s="76">
        <f>AA65+MILK2024_Imperial!$U$32</f>
        <v>3.5106375837640469</v>
      </c>
      <c r="AC65" s="76">
        <f>($AC$10*0.2)/(MILK2024_Imperial!AT65)</f>
        <v>2.1952587200950457</v>
      </c>
      <c r="AD65" s="76">
        <f t="shared" si="26"/>
        <v>15.518325182771083</v>
      </c>
      <c r="AE65" s="76">
        <f t="shared" si="27"/>
        <v>3.2733558347128535</v>
      </c>
      <c r="AF65" s="46">
        <f>(AC65*MILK2024_Imperial!AT65)/1000</f>
        <v>6.0000000000000005E-2</v>
      </c>
      <c r="AG65" s="76">
        <f>(AD65*MILK2024_Imperial!AT65)/1000</f>
        <v>0.42414112853447733</v>
      </c>
      <c r="AH65" s="76">
        <f t="shared" si="28"/>
        <v>0.82301469114619663</v>
      </c>
      <c r="AI65" s="50">
        <f t="shared" si="29"/>
        <v>339.84845660228433</v>
      </c>
      <c r="AJ65" s="76">
        <f>(0.0146*AI65)/MILK2024_Imperial!AT65</f>
        <v>0.18154012004763848</v>
      </c>
      <c r="AK65" s="76">
        <f>(0.294*MILK2024_Imperial!AT65-0.347*(U65*0.3+MILK2024_Imperial!$U$17*0.7)+0.0409*(H65*0.3+$F$22*0.7))/MILK2024_Imperial!AT65</f>
        <v>0.28296826901575345</v>
      </c>
      <c r="AL65" s="76">
        <f t="shared" si="30"/>
        <v>2.8088474456494614</v>
      </c>
      <c r="AM65" s="76">
        <f t="shared" si="31"/>
        <v>1.8538393141286447</v>
      </c>
      <c r="AN65" s="76">
        <f t="shared" si="10"/>
        <v>33.538450980075311</v>
      </c>
      <c r="AO65" s="76">
        <f t="shared" si="32"/>
        <v>0.2972717251180757</v>
      </c>
      <c r="AP65" s="78">
        <f t="shared" si="33"/>
        <v>9.9700331806350047</v>
      </c>
      <c r="AQ65" s="78">
        <f t="shared" si="34"/>
        <v>0.8025160835789511</v>
      </c>
      <c r="AR65" s="78">
        <f t="shared" si="11"/>
        <v>13.473017811668925</v>
      </c>
      <c r="AS65" s="78">
        <f t="shared" si="35"/>
        <v>29.640639185671635</v>
      </c>
      <c r="AT65" s="78">
        <f t="shared" si="12"/>
        <v>27.331630413659056</v>
      </c>
      <c r="AU65" s="78">
        <f t="shared" si="36"/>
        <v>60.12958691004993</v>
      </c>
      <c r="AV65" s="78">
        <f t="shared" si="37"/>
        <v>18.038876073014979</v>
      </c>
      <c r="AW65" s="79">
        <f t="shared" si="13"/>
        <v>3286.3066485624522</v>
      </c>
      <c r="AX65" s="79">
        <f t="shared" si="14"/>
        <v>32863.06648562452</v>
      </c>
      <c r="AY65" s="30"/>
      <c r="AZ65" s="1"/>
      <c r="BA65" s="55"/>
      <c r="BB65" s="64"/>
    </row>
    <row r="66" spans="1:54" x14ac:dyDescent="0.2">
      <c r="A66" s="47" t="s">
        <v>221</v>
      </c>
      <c r="B66" s="47"/>
      <c r="C66" s="48">
        <v>10</v>
      </c>
      <c r="D66" s="48">
        <v>37.1</v>
      </c>
      <c r="E66" s="48">
        <v>76.8</v>
      </c>
      <c r="F66" s="48">
        <v>3.5</v>
      </c>
      <c r="G66" s="48">
        <v>7.4</v>
      </c>
      <c r="H66" s="80">
        <f>'Fiber_Ash Inputs'!V39</f>
        <v>35.6</v>
      </c>
      <c r="I66" s="80">
        <f>'Fiber_Ash Inputs'!W39</f>
        <v>64.2</v>
      </c>
      <c r="J66" s="80">
        <f>'Fiber_Ash Inputs'!X39</f>
        <v>7.9</v>
      </c>
      <c r="K66" s="80">
        <f>'Fiber_Ash Inputs'!U39</f>
        <v>3</v>
      </c>
      <c r="L66" s="76">
        <f t="shared" si="15"/>
        <v>24.35079535546226</v>
      </c>
      <c r="M66" s="76">
        <f t="shared" si="16"/>
        <v>94.616843393682686</v>
      </c>
      <c r="N66" s="76">
        <f t="shared" si="17"/>
        <v>22.191011235955056</v>
      </c>
      <c r="O66" s="76">
        <f t="shared" si="18"/>
        <v>22.191011235955056</v>
      </c>
      <c r="P66" s="76">
        <f>(100*((LN((100-O66)-I66)-4.6052)/-'Fiber_Ash Inputs'!$D$17))*'Fiber_Ash Inputs'!$C$17</f>
        <v>7.3869240261072449</v>
      </c>
      <c r="Q66" s="76">
        <f t="shared" si="19"/>
        <v>58.830414718402729</v>
      </c>
      <c r="R66" s="76">
        <f>IF('Fiber_Ash Inputs'!$B$11=30,MILK2024_Imperial!I66,IF('Fiber_Ash Inputs'!$B$11=48,MILK2024_Imperial!I66*0.926))</f>
        <v>64.2</v>
      </c>
      <c r="S66" s="76">
        <f t="shared" si="20"/>
        <v>5.6980000000000004</v>
      </c>
      <c r="T66" s="76">
        <f t="shared" si="21"/>
        <v>1.7094</v>
      </c>
      <c r="U66" s="46">
        <f t="shared" si="22"/>
        <v>2.5</v>
      </c>
      <c r="V66" s="77">
        <f t="shared" si="23"/>
        <v>14.399999999999997</v>
      </c>
      <c r="W66" s="76">
        <f>((G66*0.3+MILK2024_Imperial!$J$22*0.7)/100)*MILK2024_Imperial!AT66</f>
        <v>4.5856445751997779</v>
      </c>
      <c r="X66" s="76">
        <f>((S66*0.3+MILK2024_Imperial!$L$22*0.7)/100)*MILK2024_Imperial!AT66</f>
        <v>2.8283731001045389</v>
      </c>
      <c r="Y66" s="76">
        <f>((T66*0.3+MILK2024_Imperial!$M$22*0.7)/100)*MILK2024_Imperial!AT66</f>
        <v>1.4298208821942155</v>
      </c>
      <c r="Z66" s="76">
        <f t="shared" si="24"/>
        <v>3.4787109692996374</v>
      </c>
      <c r="AA66" s="76">
        <f t="shared" si="25"/>
        <v>1.0436132907898912</v>
      </c>
      <c r="AB66" s="76">
        <f>AA66+MILK2024_Imperial!$U$32</f>
        <v>3.5106375837640469</v>
      </c>
      <c r="AC66" s="76">
        <f>($AC$10*0.2)/(MILK2024_Imperial!AT66)</f>
        <v>2.1952587200950457</v>
      </c>
      <c r="AD66" s="76">
        <f t="shared" si="26"/>
        <v>15.518325182771083</v>
      </c>
      <c r="AE66" s="76">
        <f t="shared" si="27"/>
        <v>3.2733558347128535</v>
      </c>
      <c r="AF66" s="46">
        <f>(AC66*MILK2024_Imperial!AT66)/1000</f>
        <v>6.0000000000000005E-2</v>
      </c>
      <c r="AG66" s="76">
        <f>(AD66*MILK2024_Imperial!AT66)/1000</f>
        <v>0.42414112853447733</v>
      </c>
      <c r="AH66" s="76">
        <f t="shared" si="28"/>
        <v>0.82301469114619663</v>
      </c>
      <c r="AI66" s="50">
        <f t="shared" si="29"/>
        <v>339.84845660228433</v>
      </c>
      <c r="AJ66" s="76">
        <f>(0.0146*AI66)/MILK2024_Imperial!AT66</f>
        <v>0.18154012004763848</v>
      </c>
      <c r="AK66" s="76">
        <f>(0.294*MILK2024_Imperial!AT66-0.347*(U66*0.3+MILK2024_Imperial!$U$17*0.7)+0.0409*(H66*0.3+$F$22*0.7))/MILK2024_Imperial!AT66</f>
        <v>0.28296826901575345</v>
      </c>
      <c r="AL66" s="76">
        <f t="shared" si="30"/>
        <v>2.8088474456494614</v>
      </c>
      <c r="AM66" s="76">
        <f t="shared" si="31"/>
        <v>1.8538393141286447</v>
      </c>
      <c r="AN66" s="76">
        <f t="shared" si="10"/>
        <v>33.538450980075311</v>
      </c>
      <c r="AO66" s="76">
        <f t="shared" si="32"/>
        <v>0.2972717251180757</v>
      </c>
      <c r="AP66" s="78">
        <f t="shared" si="33"/>
        <v>9.9700331806350047</v>
      </c>
      <c r="AQ66" s="78">
        <f t="shared" si="34"/>
        <v>0.8025160835789511</v>
      </c>
      <c r="AR66" s="78">
        <f t="shared" si="11"/>
        <v>13.473017811668925</v>
      </c>
      <c r="AS66" s="78">
        <f t="shared" si="35"/>
        <v>29.640639185671635</v>
      </c>
      <c r="AT66" s="78">
        <f t="shared" si="12"/>
        <v>27.331630413659056</v>
      </c>
      <c r="AU66" s="78">
        <f t="shared" si="36"/>
        <v>60.12958691004993</v>
      </c>
      <c r="AV66" s="78">
        <f t="shared" si="37"/>
        <v>18.038876073014979</v>
      </c>
      <c r="AW66" s="79">
        <f t="shared" si="13"/>
        <v>3286.3066485624522</v>
      </c>
      <c r="AX66" s="79">
        <f t="shared" si="14"/>
        <v>32863.06648562452</v>
      </c>
      <c r="AY66" s="30"/>
      <c r="AZ66" s="1"/>
    </row>
    <row r="67" spans="1:54" x14ac:dyDescent="0.2">
      <c r="A67" s="47" t="s">
        <v>222</v>
      </c>
      <c r="B67" s="47"/>
      <c r="C67" s="48">
        <v>10</v>
      </c>
      <c r="D67" s="48">
        <v>37.1</v>
      </c>
      <c r="E67" s="48">
        <v>76.8</v>
      </c>
      <c r="F67" s="48">
        <v>3.5</v>
      </c>
      <c r="G67" s="48">
        <v>7.4</v>
      </c>
      <c r="H67" s="80">
        <f>'Fiber_Ash Inputs'!V40</f>
        <v>35.6</v>
      </c>
      <c r="I67" s="80">
        <f>'Fiber_Ash Inputs'!W40</f>
        <v>64.2</v>
      </c>
      <c r="J67" s="80">
        <f>'Fiber_Ash Inputs'!X40</f>
        <v>7.9</v>
      </c>
      <c r="K67" s="80">
        <f>'Fiber_Ash Inputs'!U40</f>
        <v>3</v>
      </c>
      <c r="L67" s="76">
        <f t="shared" si="15"/>
        <v>24.35079535546226</v>
      </c>
      <c r="M67" s="76">
        <f t="shared" si="16"/>
        <v>94.616843393682686</v>
      </c>
      <c r="N67" s="76">
        <f t="shared" si="17"/>
        <v>22.191011235955056</v>
      </c>
      <c r="O67" s="76">
        <f t="shared" si="18"/>
        <v>22.191011235955056</v>
      </c>
      <c r="P67" s="76">
        <f>(100*((LN((100-O67)-I67)-4.6052)/-'Fiber_Ash Inputs'!$D$17))*'Fiber_Ash Inputs'!$C$17</f>
        <v>7.3869240261072449</v>
      </c>
      <c r="Q67" s="76">
        <f t="shared" si="19"/>
        <v>58.830414718402729</v>
      </c>
      <c r="R67" s="76">
        <f>IF('Fiber_Ash Inputs'!$B$11=30,MILK2024_Imperial!I67,IF('Fiber_Ash Inputs'!$B$11=48,MILK2024_Imperial!I67*0.926))</f>
        <v>64.2</v>
      </c>
      <c r="S67" s="76">
        <f t="shared" si="20"/>
        <v>5.6980000000000004</v>
      </c>
      <c r="T67" s="76">
        <f t="shared" si="21"/>
        <v>1.7094</v>
      </c>
      <c r="U67" s="46">
        <f t="shared" si="22"/>
        <v>2.5</v>
      </c>
      <c r="V67" s="77">
        <f t="shared" si="23"/>
        <v>14.399999999999997</v>
      </c>
      <c r="W67" s="76">
        <f>((G67*0.3+MILK2024_Imperial!$J$22*0.7)/100)*MILK2024_Imperial!AT67</f>
        <v>4.5856445751997779</v>
      </c>
      <c r="X67" s="76">
        <f>((S67*0.3+MILK2024_Imperial!$L$22*0.7)/100)*MILK2024_Imperial!AT67</f>
        <v>2.8283731001045389</v>
      </c>
      <c r="Y67" s="76">
        <f>((T67*0.3+MILK2024_Imperial!$M$22*0.7)/100)*MILK2024_Imperial!AT67</f>
        <v>1.4298208821942155</v>
      </c>
      <c r="Z67" s="76">
        <f t="shared" si="24"/>
        <v>3.4787109692996374</v>
      </c>
      <c r="AA67" s="76">
        <f t="shared" si="25"/>
        <v>1.0436132907898912</v>
      </c>
      <c r="AB67" s="76">
        <f>AA67+MILK2024_Imperial!$U$32</f>
        <v>3.5106375837640469</v>
      </c>
      <c r="AC67" s="76">
        <f>($AC$10*0.2)/(MILK2024_Imperial!AT67)</f>
        <v>2.1952587200950457</v>
      </c>
      <c r="AD67" s="76">
        <f t="shared" si="26"/>
        <v>15.518325182771083</v>
      </c>
      <c r="AE67" s="76">
        <f t="shared" si="27"/>
        <v>3.2733558347128535</v>
      </c>
      <c r="AF67" s="46">
        <f>(AC67*MILK2024_Imperial!AT67)/1000</f>
        <v>6.0000000000000005E-2</v>
      </c>
      <c r="AG67" s="76">
        <f>(AD67*MILK2024_Imperial!AT67)/1000</f>
        <v>0.42414112853447733</v>
      </c>
      <c r="AH67" s="76">
        <f t="shared" si="28"/>
        <v>0.82301469114619663</v>
      </c>
      <c r="AI67" s="50">
        <f t="shared" si="29"/>
        <v>339.84845660228433</v>
      </c>
      <c r="AJ67" s="76">
        <f>(0.0146*AI67)/MILK2024_Imperial!AT67</f>
        <v>0.18154012004763848</v>
      </c>
      <c r="AK67" s="76">
        <f>(0.294*MILK2024_Imperial!AT67-0.347*(U67*0.3+MILK2024_Imperial!$U$17*0.7)+0.0409*(H67*0.3+$F$22*0.7))/MILK2024_Imperial!AT67</f>
        <v>0.28296826901575345</v>
      </c>
      <c r="AL67" s="76">
        <f t="shared" si="30"/>
        <v>2.8088474456494614</v>
      </c>
      <c r="AM67" s="76">
        <f t="shared" si="31"/>
        <v>1.8538393141286447</v>
      </c>
      <c r="AN67" s="76">
        <f t="shared" si="10"/>
        <v>33.538450980075311</v>
      </c>
      <c r="AO67" s="76">
        <f t="shared" si="32"/>
        <v>0.2972717251180757</v>
      </c>
      <c r="AP67" s="78">
        <f t="shared" si="33"/>
        <v>9.9700331806350047</v>
      </c>
      <c r="AQ67" s="78">
        <f t="shared" si="34"/>
        <v>0.8025160835789511</v>
      </c>
      <c r="AR67" s="78">
        <f t="shared" si="11"/>
        <v>13.473017811668925</v>
      </c>
      <c r="AS67" s="78">
        <f t="shared" si="35"/>
        <v>29.640639185671635</v>
      </c>
      <c r="AT67" s="78">
        <f t="shared" si="12"/>
        <v>27.331630413659056</v>
      </c>
      <c r="AU67" s="78">
        <f t="shared" si="36"/>
        <v>60.12958691004993</v>
      </c>
      <c r="AV67" s="78">
        <f t="shared" si="37"/>
        <v>18.038876073014979</v>
      </c>
      <c r="AW67" s="79">
        <f t="shared" si="13"/>
        <v>3286.3066485624522</v>
      </c>
      <c r="AX67" s="79">
        <f t="shared" si="14"/>
        <v>32863.06648562452</v>
      </c>
      <c r="AY67" s="30"/>
      <c r="AZ67" s="1"/>
    </row>
    <row r="68" spans="1:54" x14ac:dyDescent="0.2">
      <c r="A68" s="47" t="s">
        <v>223</v>
      </c>
      <c r="B68" s="47"/>
      <c r="C68" s="48">
        <v>10</v>
      </c>
      <c r="D68" s="48">
        <v>37.1</v>
      </c>
      <c r="E68" s="48">
        <v>76.8</v>
      </c>
      <c r="F68" s="48">
        <v>3.5</v>
      </c>
      <c r="G68" s="48">
        <v>7.4</v>
      </c>
      <c r="H68" s="80">
        <f>'Fiber_Ash Inputs'!V41</f>
        <v>35.6</v>
      </c>
      <c r="I68" s="80">
        <f>'Fiber_Ash Inputs'!W41</f>
        <v>64.2</v>
      </c>
      <c r="J68" s="80">
        <f>'Fiber_Ash Inputs'!X41</f>
        <v>7.9</v>
      </c>
      <c r="K68" s="80">
        <f>'Fiber_Ash Inputs'!U41</f>
        <v>3</v>
      </c>
      <c r="L68" s="76">
        <f t="shared" si="15"/>
        <v>24.35079535546226</v>
      </c>
      <c r="M68" s="76">
        <f t="shared" si="16"/>
        <v>94.616843393682686</v>
      </c>
      <c r="N68" s="76">
        <f t="shared" si="17"/>
        <v>22.191011235955056</v>
      </c>
      <c r="O68" s="76">
        <f t="shared" si="18"/>
        <v>22.191011235955056</v>
      </c>
      <c r="P68" s="76">
        <f>(100*((LN((100-O68)-I68)-4.6052)/-'Fiber_Ash Inputs'!$D$17))*'Fiber_Ash Inputs'!$C$17</f>
        <v>7.3869240261072449</v>
      </c>
      <c r="Q68" s="76">
        <f t="shared" si="19"/>
        <v>58.830414718402729</v>
      </c>
      <c r="R68" s="76">
        <f>IF('Fiber_Ash Inputs'!$B$11=30,MILK2024_Imperial!I68,IF('Fiber_Ash Inputs'!$B$11=48,MILK2024_Imperial!I68*0.926))</f>
        <v>64.2</v>
      </c>
      <c r="S68" s="76">
        <f t="shared" si="20"/>
        <v>5.6980000000000004</v>
      </c>
      <c r="T68" s="76">
        <f t="shared" si="21"/>
        <v>1.7094</v>
      </c>
      <c r="U68" s="46">
        <f t="shared" si="22"/>
        <v>2.5</v>
      </c>
      <c r="V68" s="77">
        <f t="shared" si="23"/>
        <v>14.399999999999997</v>
      </c>
      <c r="W68" s="76">
        <f>((G68*0.3+MILK2024_Imperial!$J$22*0.7)/100)*MILK2024_Imperial!AT68</f>
        <v>4.5856445751997779</v>
      </c>
      <c r="X68" s="76">
        <f>((S68*0.3+MILK2024_Imperial!$L$22*0.7)/100)*MILK2024_Imperial!AT68</f>
        <v>2.8283731001045389</v>
      </c>
      <c r="Y68" s="76">
        <f>((T68*0.3+MILK2024_Imperial!$M$22*0.7)/100)*MILK2024_Imperial!AT68</f>
        <v>1.4298208821942155</v>
      </c>
      <c r="Z68" s="76">
        <f t="shared" si="24"/>
        <v>3.4787109692996374</v>
      </c>
      <c r="AA68" s="76">
        <f t="shared" si="25"/>
        <v>1.0436132907898912</v>
      </c>
      <c r="AB68" s="76">
        <f>AA68+MILK2024_Imperial!$U$32</f>
        <v>3.5106375837640469</v>
      </c>
      <c r="AC68" s="76">
        <f>($AC$10*0.2)/(MILK2024_Imperial!AT68)</f>
        <v>2.1952587200950457</v>
      </c>
      <c r="AD68" s="76">
        <f t="shared" si="26"/>
        <v>15.518325182771083</v>
      </c>
      <c r="AE68" s="76">
        <f t="shared" si="27"/>
        <v>3.2733558347128535</v>
      </c>
      <c r="AF68" s="46">
        <f>(AC68*MILK2024_Imperial!AT68)/1000</f>
        <v>6.0000000000000005E-2</v>
      </c>
      <c r="AG68" s="76">
        <f>(AD68*MILK2024_Imperial!AT68)/1000</f>
        <v>0.42414112853447733</v>
      </c>
      <c r="AH68" s="76">
        <f t="shared" si="28"/>
        <v>0.82301469114619663</v>
      </c>
      <c r="AI68" s="50">
        <f t="shared" si="29"/>
        <v>339.84845660228433</v>
      </c>
      <c r="AJ68" s="76">
        <f>(0.0146*AI68)/MILK2024_Imperial!AT68</f>
        <v>0.18154012004763848</v>
      </c>
      <c r="AK68" s="76">
        <f>(0.294*MILK2024_Imperial!AT68-0.347*(U68*0.3+MILK2024_Imperial!$U$17*0.7)+0.0409*(H68*0.3+$F$22*0.7))/MILK2024_Imperial!AT68</f>
        <v>0.28296826901575345</v>
      </c>
      <c r="AL68" s="76">
        <f t="shared" si="30"/>
        <v>2.8088474456494614</v>
      </c>
      <c r="AM68" s="76">
        <f t="shared" si="31"/>
        <v>1.8538393141286447</v>
      </c>
      <c r="AN68" s="76">
        <f t="shared" si="10"/>
        <v>33.538450980075311</v>
      </c>
      <c r="AO68" s="76">
        <f t="shared" si="32"/>
        <v>0.2972717251180757</v>
      </c>
      <c r="AP68" s="78">
        <f t="shared" si="33"/>
        <v>9.9700331806350047</v>
      </c>
      <c r="AQ68" s="78">
        <f t="shared" si="34"/>
        <v>0.8025160835789511</v>
      </c>
      <c r="AR68" s="78">
        <f t="shared" si="11"/>
        <v>13.473017811668925</v>
      </c>
      <c r="AS68" s="78">
        <f t="shared" si="35"/>
        <v>29.640639185671635</v>
      </c>
      <c r="AT68" s="78">
        <f t="shared" si="12"/>
        <v>27.331630413659056</v>
      </c>
      <c r="AU68" s="78">
        <f t="shared" si="36"/>
        <v>60.12958691004993</v>
      </c>
      <c r="AV68" s="78">
        <f t="shared" si="37"/>
        <v>18.038876073014979</v>
      </c>
      <c r="AW68" s="79">
        <f t="shared" si="13"/>
        <v>3286.3066485624522</v>
      </c>
      <c r="AX68" s="79">
        <f t="shared" si="14"/>
        <v>32863.06648562452</v>
      </c>
      <c r="AY68" s="30"/>
      <c r="AZ68" s="1"/>
    </row>
    <row r="69" spans="1:54" x14ac:dyDescent="0.2">
      <c r="A69" s="47" t="s">
        <v>224</v>
      </c>
      <c r="B69" s="47"/>
      <c r="C69" s="48">
        <v>10</v>
      </c>
      <c r="D69" s="48">
        <v>37.1</v>
      </c>
      <c r="E69" s="48">
        <v>76.8</v>
      </c>
      <c r="F69" s="48">
        <v>3.5</v>
      </c>
      <c r="G69" s="48">
        <v>7.4</v>
      </c>
      <c r="H69" s="80">
        <f>'Fiber_Ash Inputs'!V42</f>
        <v>35.6</v>
      </c>
      <c r="I69" s="80">
        <f>'Fiber_Ash Inputs'!W42</f>
        <v>64.2</v>
      </c>
      <c r="J69" s="80">
        <f>'Fiber_Ash Inputs'!X42</f>
        <v>7.9</v>
      </c>
      <c r="K69" s="80">
        <f>'Fiber_Ash Inputs'!U42</f>
        <v>3</v>
      </c>
      <c r="L69" s="76">
        <f t="shared" si="15"/>
        <v>24.35079535546226</v>
      </c>
      <c r="M69" s="76">
        <f t="shared" si="16"/>
        <v>94.616843393682686</v>
      </c>
      <c r="N69" s="76">
        <f t="shared" si="17"/>
        <v>22.191011235955056</v>
      </c>
      <c r="O69" s="76">
        <f t="shared" si="18"/>
        <v>22.191011235955056</v>
      </c>
      <c r="P69" s="76">
        <f>(100*((LN((100-O69)-I69)-4.6052)/-'Fiber_Ash Inputs'!$D$17))*'Fiber_Ash Inputs'!$C$17</f>
        <v>7.3869240261072449</v>
      </c>
      <c r="Q69" s="76">
        <f t="shared" si="19"/>
        <v>58.830414718402729</v>
      </c>
      <c r="R69" s="76">
        <f>IF('Fiber_Ash Inputs'!$B$11=30,MILK2024_Imperial!I69,IF('Fiber_Ash Inputs'!$B$11=48,MILK2024_Imperial!I69*0.926))</f>
        <v>64.2</v>
      </c>
      <c r="S69" s="76">
        <f t="shared" si="20"/>
        <v>5.6980000000000004</v>
      </c>
      <c r="T69" s="76">
        <f t="shared" si="21"/>
        <v>1.7094</v>
      </c>
      <c r="U69" s="46">
        <f t="shared" si="22"/>
        <v>2.5</v>
      </c>
      <c r="V69" s="77">
        <f t="shared" si="23"/>
        <v>14.399999999999997</v>
      </c>
      <c r="W69" s="76">
        <f>((G69*0.3+MILK2024_Imperial!$J$22*0.7)/100)*MILK2024_Imperial!AT69</f>
        <v>4.5856445751997779</v>
      </c>
      <c r="X69" s="76">
        <f>((S69*0.3+MILK2024_Imperial!$L$22*0.7)/100)*MILK2024_Imperial!AT69</f>
        <v>2.8283731001045389</v>
      </c>
      <c r="Y69" s="76">
        <f>((T69*0.3+MILK2024_Imperial!$M$22*0.7)/100)*MILK2024_Imperial!AT69</f>
        <v>1.4298208821942155</v>
      </c>
      <c r="Z69" s="76">
        <f t="shared" si="24"/>
        <v>3.4787109692996374</v>
      </c>
      <c r="AA69" s="76">
        <f t="shared" si="25"/>
        <v>1.0436132907898912</v>
      </c>
      <c r="AB69" s="76">
        <f>AA69+MILK2024_Imperial!$U$32</f>
        <v>3.5106375837640469</v>
      </c>
      <c r="AC69" s="76">
        <f>($AC$10*0.2)/(MILK2024_Imperial!AT69)</f>
        <v>2.1952587200950457</v>
      </c>
      <c r="AD69" s="76">
        <f t="shared" si="26"/>
        <v>15.518325182771083</v>
      </c>
      <c r="AE69" s="76">
        <f t="shared" si="27"/>
        <v>3.2733558347128535</v>
      </c>
      <c r="AF69" s="46">
        <f>(AC69*MILK2024_Imperial!AT69)/1000</f>
        <v>6.0000000000000005E-2</v>
      </c>
      <c r="AG69" s="76">
        <f>(AD69*MILK2024_Imperial!AT69)/1000</f>
        <v>0.42414112853447733</v>
      </c>
      <c r="AH69" s="76">
        <f t="shared" si="28"/>
        <v>0.82301469114619663</v>
      </c>
      <c r="AI69" s="50">
        <f t="shared" si="29"/>
        <v>339.84845660228433</v>
      </c>
      <c r="AJ69" s="76">
        <f>(0.0146*AI69)/MILK2024_Imperial!AT69</f>
        <v>0.18154012004763848</v>
      </c>
      <c r="AK69" s="76">
        <f>(0.294*MILK2024_Imperial!AT69-0.347*(U69*0.3+MILK2024_Imperial!$U$17*0.7)+0.0409*(H69*0.3+$F$22*0.7))/MILK2024_Imperial!AT69</f>
        <v>0.28296826901575345</v>
      </c>
      <c r="AL69" s="76">
        <f t="shared" si="30"/>
        <v>2.8088474456494614</v>
      </c>
      <c r="AM69" s="76">
        <f t="shared" si="31"/>
        <v>1.8538393141286447</v>
      </c>
      <c r="AN69" s="76">
        <f t="shared" si="10"/>
        <v>33.538450980075311</v>
      </c>
      <c r="AO69" s="76">
        <f t="shared" si="32"/>
        <v>0.2972717251180757</v>
      </c>
      <c r="AP69" s="78">
        <f t="shared" si="33"/>
        <v>9.9700331806350047</v>
      </c>
      <c r="AQ69" s="78">
        <f t="shared" si="34"/>
        <v>0.8025160835789511</v>
      </c>
      <c r="AR69" s="78">
        <f t="shared" si="11"/>
        <v>13.473017811668925</v>
      </c>
      <c r="AS69" s="78">
        <f t="shared" si="35"/>
        <v>29.640639185671635</v>
      </c>
      <c r="AT69" s="78">
        <f t="shared" si="12"/>
        <v>27.331630413659056</v>
      </c>
      <c r="AU69" s="78">
        <f t="shared" si="36"/>
        <v>60.12958691004993</v>
      </c>
      <c r="AV69" s="78">
        <f t="shared" si="37"/>
        <v>18.038876073014979</v>
      </c>
      <c r="AW69" s="79">
        <f t="shared" si="13"/>
        <v>3286.3066485624522</v>
      </c>
      <c r="AX69" s="79">
        <f t="shared" si="14"/>
        <v>32863.06648562452</v>
      </c>
      <c r="AY69" s="30"/>
      <c r="AZ69" s="1"/>
    </row>
    <row r="70" spans="1:54" x14ac:dyDescent="0.2">
      <c r="A70" s="47" t="s">
        <v>225</v>
      </c>
      <c r="B70" s="47"/>
      <c r="C70" s="48">
        <v>10</v>
      </c>
      <c r="D70" s="48">
        <v>37.1</v>
      </c>
      <c r="E70" s="48">
        <v>76.8</v>
      </c>
      <c r="F70" s="48">
        <v>3.5</v>
      </c>
      <c r="G70" s="48">
        <v>7.4</v>
      </c>
      <c r="H70" s="80">
        <f>'Fiber_Ash Inputs'!V43</f>
        <v>35.6</v>
      </c>
      <c r="I70" s="80">
        <f>'Fiber_Ash Inputs'!W43</f>
        <v>64.2</v>
      </c>
      <c r="J70" s="80">
        <f>'Fiber_Ash Inputs'!X43</f>
        <v>7.9</v>
      </c>
      <c r="K70" s="80">
        <f>'Fiber_Ash Inputs'!U43</f>
        <v>3</v>
      </c>
      <c r="L70" s="76">
        <f t="shared" si="15"/>
        <v>24.35079535546226</v>
      </c>
      <c r="M70" s="76">
        <f t="shared" si="16"/>
        <v>94.616843393682686</v>
      </c>
      <c r="N70" s="76">
        <f t="shared" si="17"/>
        <v>22.191011235955056</v>
      </c>
      <c r="O70" s="76">
        <f t="shared" si="18"/>
        <v>22.191011235955056</v>
      </c>
      <c r="P70" s="76">
        <f>(100*((LN((100-O70)-I70)-4.6052)/-'Fiber_Ash Inputs'!$D$17))*'Fiber_Ash Inputs'!$C$17</f>
        <v>7.3869240261072449</v>
      </c>
      <c r="Q70" s="76">
        <f t="shared" si="19"/>
        <v>58.830414718402729</v>
      </c>
      <c r="R70" s="76">
        <f>IF('Fiber_Ash Inputs'!$B$11=30,MILK2024_Imperial!I70,IF('Fiber_Ash Inputs'!$B$11=48,MILK2024_Imperial!I70*0.926))</f>
        <v>64.2</v>
      </c>
      <c r="S70" s="76">
        <f t="shared" si="20"/>
        <v>5.6980000000000004</v>
      </c>
      <c r="T70" s="76">
        <f t="shared" si="21"/>
        <v>1.7094</v>
      </c>
      <c r="U70" s="46">
        <f t="shared" si="22"/>
        <v>2.5</v>
      </c>
      <c r="V70" s="77">
        <f t="shared" si="23"/>
        <v>14.399999999999997</v>
      </c>
      <c r="W70" s="76">
        <f>((G70*0.3+MILK2024_Imperial!$J$22*0.7)/100)*MILK2024_Imperial!AT70</f>
        <v>4.5856445751997779</v>
      </c>
      <c r="X70" s="76">
        <f>((S70*0.3+MILK2024_Imperial!$L$22*0.7)/100)*MILK2024_Imperial!AT70</f>
        <v>2.8283731001045389</v>
      </c>
      <c r="Y70" s="76">
        <f>((T70*0.3+MILK2024_Imperial!$M$22*0.7)/100)*MILK2024_Imperial!AT70</f>
        <v>1.4298208821942155</v>
      </c>
      <c r="Z70" s="76">
        <f t="shared" si="24"/>
        <v>3.4787109692996374</v>
      </c>
      <c r="AA70" s="76">
        <f t="shared" si="25"/>
        <v>1.0436132907898912</v>
      </c>
      <c r="AB70" s="76">
        <f>AA70+MILK2024_Imperial!$U$32</f>
        <v>3.5106375837640469</v>
      </c>
      <c r="AC70" s="76">
        <f>($AC$10*0.2)/(MILK2024_Imperial!AT70)</f>
        <v>2.1952587200950457</v>
      </c>
      <c r="AD70" s="76">
        <f t="shared" si="26"/>
        <v>15.518325182771083</v>
      </c>
      <c r="AE70" s="76">
        <f t="shared" si="27"/>
        <v>3.2733558347128535</v>
      </c>
      <c r="AF70" s="46">
        <f>(AC70*MILK2024_Imperial!AT70)/1000</f>
        <v>6.0000000000000005E-2</v>
      </c>
      <c r="AG70" s="76">
        <f>(AD70*MILK2024_Imperial!AT70)/1000</f>
        <v>0.42414112853447733</v>
      </c>
      <c r="AH70" s="76">
        <f t="shared" si="28"/>
        <v>0.82301469114619663</v>
      </c>
      <c r="AI70" s="50">
        <f t="shared" si="29"/>
        <v>339.84845660228433</v>
      </c>
      <c r="AJ70" s="76">
        <f>(0.0146*AI70)/MILK2024_Imperial!AT70</f>
        <v>0.18154012004763848</v>
      </c>
      <c r="AK70" s="76">
        <f>(0.294*MILK2024_Imperial!AT70-0.347*(U70*0.3+MILK2024_Imperial!$U$17*0.7)+0.0409*(H70*0.3+$F$22*0.7))/MILK2024_Imperial!AT70</f>
        <v>0.28296826901575345</v>
      </c>
      <c r="AL70" s="76">
        <f t="shared" si="30"/>
        <v>2.8088474456494614</v>
      </c>
      <c r="AM70" s="76">
        <f t="shared" si="31"/>
        <v>1.8538393141286447</v>
      </c>
      <c r="AN70" s="76">
        <f t="shared" ref="AN70:AN101" si="38">((AM70*AT70)-$AN$11-$AN$14)</f>
        <v>33.538450980075311</v>
      </c>
      <c r="AO70" s="76">
        <f t="shared" si="32"/>
        <v>0.2972717251180757</v>
      </c>
      <c r="AP70" s="78">
        <f t="shared" si="33"/>
        <v>9.9700331806350047</v>
      </c>
      <c r="AQ70" s="78">
        <f t="shared" si="34"/>
        <v>0.8025160835789511</v>
      </c>
      <c r="AR70" s="78">
        <f t="shared" ref="AR70:AR101" si="39">(AP70)/$AR$20</f>
        <v>13.473017811668925</v>
      </c>
      <c r="AS70" s="78">
        <f t="shared" si="35"/>
        <v>29.640639185671635</v>
      </c>
      <c r="AT70" s="78">
        <f t="shared" ref="AT70:AT101" si="40">12-0.107*($F$22*0.7+H70*0.3)+8.17*($AU$10/($F$22*0.7+H70*0.3))+0.0253*($G$22*0.7+R70*0.3)-0.328*(($AU$10/($F$22*0.7+H70*0.3))-0.602)*(($G$22*0.7+R70*0.3)-48.3)+0.225*$AU$13+0.0039*(($G$22*0.7+R70*0.3)-48.3)*($AU$13-33.1)</f>
        <v>27.331630413659056</v>
      </c>
      <c r="AU70" s="78">
        <f t="shared" si="36"/>
        <v>60.12958691004993</v>
      </c>
      <c r="AV70" s="78">
        <f t="shared" si="37"/>
        <v>18.038876073014979</v>
      </c>
      <c r="AW70" s="79">
        <f t="shared" ref="AW70:AW101" si="41">(AS70/AV70)*2000</f>
        <v>3286.3066485624522</v>
      </c>
      <c r="AX70" s="79">
        <f t="shared" ref="AX70:AX101" si="42">C70*AW70</f>
        <v>32863.06648562452</v>
      </c>
      <c r="AY70" s="30"/>
      <c r="AZ70" s="1"/>
    </row>
    <row r="71" spans="1:54" x14ac:dyDescent="0.2">
      <c r="A71" s="47" t="s">
        <v>226</v>
      </c>
      <c r="B71" s="47"/>
      <c r="C71" s="48">
        <v>10</v>
      </c>
      <c r="D71" s="48">
        <v>37.1</v>
      </c>
      <c r="E71" s="48">
        <v>76.8</v>
      </c>
      <c r="F71" s="48">
        <v>3.5</v>
      </c>
      <c r="G71" s="48">
        <v>7.4</v>
      </c>
      <c r="H71" s="80">
        <f>'Fiber_Ash Inputs'!V44</f>
        <v>35.6</v>
      </c>
      <c r="I71" s="80">
        <f>'Fiber_Ash Inputs'!W44</f>
        <v>64.2</v>
      </c>
      <c r="J71" s="80">
        <f>'Fiber_Ash Inputs'!X44</f>
        <v>7.9</v>
      </c>
      <c r="K71" s="80">
        <f>'Fiber_Ash Inputs'!U44</f>
        <v>3</v>
      </c>
      <c r="L71" s="76">
        <f t="shared" si="15"/>
        <v>24.35079535546226</v>
      </c>
      <c r="M71" s="76">
        <f t="shared" si="16"/>
        <v>94.616843393682686</v>
      </c>
      <c r="N71" s="76">
        <f t="shared" si="17"/>
        <v>22.191011235955056</v>
      </c>
      <c r="O71" s="76">
        <f t="shared" si="18"/>
        <v>22.191011235955056</v>
      </c>
      <c r="P71" s="76">
        <f>(100*((LN((100-O71)-I71)-4.6052)/-'Fiber_Ash Inputs'!$D$17))*'Fiber_Ash Inputs'!$C$17</f>
        <v>7.3869240261072449</v>
      </c>
      <c r="Q71" s="76">
        <f t="shared" si="19"/>
        <v>58.830414718402729</v>
      </c>
      <c r="R71" s="76">
        <f>IF('Fiber_Ash Inputs'!$B$11=30,MILK2024_Imperial!I71,IF('Fiber_Ash Inputs'!$B$11=48,MILK2024_Imperial!I71*0.926))</f>
        <v>64.2</v>
      </c>
      <c r="S71" s="76">
        <f t="shared" si="20"/>
        <v>5.6980000000000004</v>
      </c>
      <c r="T71" s="76">
        <f t="shared" si="21"/>
        <v>1.7094</v>
      </c>
      <c r="U71" s="46">
        <f t="shared" si="22"/>
        <v>2.5</v>
      </c>
      <c r="V71" s="77">
        <f t="shared" si="23"/>
        <v>14.399999999999997</v>
      </c>
      <c r="W71" s="76">
        <f>((G71*0.3+MILK2024_Imperial!$J$22*0.7)/100)*MILK2024_Imperial!AT71</f>
        <v>4.5856445751997779</v>
      </c>
      <c r="X71" s="76">
        <f>((S71*0.3+MILK2024_Imperial!$L$22*0.7)/100)*MILK2024_Imperial!AT71</f>
        <v>2.8283731001045389</v>
      </c>
      <c r="Y71" s="76">
        <f>((T71*0.3+MILK2024_Imperial!$M$22*0.7)/100)*MILK2024_Imperial!AT71</f>
        <v>1.4298208821942155</v>
      </c>
      <c r="Z71" s="76">
        <f t="shared" si="24"/>
        <v>3.4787109692996374</v>
      </c>
      <c r="AA71" s="76">
        <f t="shared" si="25"/>
        <v>1.0436132907898912</v>
      </c>
      <c r="AB71" s="76">
        <f>AA71+MILK2024_Imperial!$U$32</f>
        <v>3.5106375837640469</v>
      </c>
      <c r="AC71" s="76">
        <f>($AC$10*0.2)/(MILK2024_Imperial!AT71)</f>
        <v>2.1952587200950457</v>
      </c>
      <c r="AD71" s="76">
        <f t="shared" si="26"/>
        <v>15.518325182771083</v>
      </c>
      <c r="AE71" s="76">
        <f t="shared" si="27"/>
        <v>3.2733558347128535</v>
      </c>
      <c r="AF71" s="46">
        <f>(AC71*MILK2024_Imperial!AT71)/1000</f>
        <v>6.0000000000000005E-2</v>
      </c>
      <c r="AG71" s="76">
        <f>(AD71*MILK2024_Imperial!AT71)/1000</f>
        <v>0.42414112853447733</v>
      </c>
      <c r="AH71" s="76">
        <f t="shared" si="28"/>
        <v>0.82301469114619663</v>
      </c>
      <c r="AI71" s="50">
        <f t="shared" si="29"/>
        <v>339.84845660228433</v>
      </c>
      <c r="AJ71" s="76">
        <f>(0.0146*AI71)/MILK2024_Imperial!AT71</f>
        <v>0.18154012004763848</v>
      </c>
      <c r="AK71" s="76">
        <f>(0.294*MILK2024_Imperial!AT71-0.347*(U71*0.3+MILK2024_Imperial!$U$17*0.7)+0.0409*(H71*0.3+$F$22*0.7))/MILK2024_Imperial!AT71</f>
        <v>0.28296826901575345</v>
      </c>
      <c r="AL71" s="76">
        <f t="shared" si="30"/>
        <v>2.8088474456494614</v>
      </c>
      <c r="AM71" s="76">
        <f t="shared" si="31"/>
        <v>1.8538393141286447</v>
      </c>
      <c r="AN71" s="76">
        <f t="shared" si="38"/>
        <v>33.538450980075311</v>
      </c>
      <c r="AO71" s="76">
        <f t="shared" si="32"/>
        <v>0.2972717251180757</v>
      </c>
      <c r="AP71" s="78">
        <f t="shared" si="33"/>
        <v>9.9700331806350047</v>
      </c>
      <c r="AQ71" s="78">
        <f t="shared" si="34"/>
        <v>0.8025160835789511</v>
      </c>
      <c r="AR71" s="78">
        <f t="shared" si="39"/>
        <v>13.473017811668925</v>
      </c>
      <c r="AS71" s="78">
        <f t="shared" si="35"/>
        <v>29.640639185671635</v>
      </c>
      <c r="AT71" s="78">
        <f t="shared" si="40"/>
        <v>27.331630413659056</v>
      </c>
      <c r="AU71" s="78">
        <f t="shared" si="36"/>
        <v>60.12958691004993</v>
      </c>
      <c r="AV71" s="78">
        <f t="shared" si="37"/>
        <v>18.038876073014979</v>
      </c>
      <c r="AW71" s="79">
        <f t="shared" si="41"/>
        <v>3286.3066485624522</v>
      </c>
      <c r="AX71" s="79">
        <f t="shared" si="42"/>
        <v>32863.06648562452</v>
      </c>
      <c r="AY71" s="30"/>
      <c r="AZ71" s="1"/>
    </row>
    <row r="72" spans="1:54" x14ac:dyDescent="0.2">
      <c r="A72" s="47" t="s">
        <v>227</v>
      </c>
      <c r="B72" s="47"/>
      <c r="C72" s="48">
        <v>10</v>
      </c>
      <c r="D72" s="48">
        <v>37.1</v>
      </c>
      <c r="E72" s="48">
        <v>76.8</v>
      </c>
      <c r="F72" s="48">
        <v>3.5</v>
      </c>
      <c r="G72" s="48">
        <v>7.4</v>
      </c>
      <c r="H72" s="80">
        <f>'Fiber_Ash Inputs'!V45</f>
        <v>35.6</v>
      </c>
      <c r="I72" s="80">
        <f>'Fiber_Ash Inputs'!W45</f>
        <v>64.2</v>
      </c>
      <c r="J72" s="80">
        <f>'Fiber_Ash Inputs'!X45</f>
        <v>7.9</v>
      </c>
      <c r="K72" s="80">
        <f>'Fiber_Ash Inputs'!U45</f>
        <v>3</v>
      </c>
      <c r="L72" s="76">
        <f t="shared" si="15"/>
        <v>24.35079535546226</v>
      </c>
      <c r="M72" s="76">
        <f t="shared" si="16"/>
        <v>94.616843393682686</v>
      </c>
      <c r="N72" s="76">
        <f t="shared" si="17"/>
        <v>22.191011235955056</v>
      </c>
      <c r="O72" s="76">
        <f t="shared" si="18"/>
        <v>22.191011235955056</v>
      </c>
      <c r="P72" s="76">
        <f>(100*((LN((100-O72)-I72)-4.6052)/-'Fiber_Ash Inputs'!$D$17))*'Fiber_Ash Inputs'!$C$17</f>
        <v>7.3869240261072449</v>
      </c>
      <c r="Q72" s="76">
        <f t="shared" si="19"/>
        <v>58.830414718402729</v>
      </c>
      <c r="R72" s="76">
        <f>IF('Fiber_Ash Inputs'!$B$11=30,MILK2024_Imperial!I72,IF('Fiber_Ash Inputs'!$B$11=48,MILK2024_Imperial!I72*0.926))</f>
        <v>64.2</v>
      </c>
      <c r="S72" s="76">
        <f t="shared" si="20"/>
        <v>5.6980000000000004</v>
      </c>
      <c r="T72" s="76">
        <f t="shared" si="21"/>
        <v>1.7094</v>
      </c>
      <c r="U72" s="46">
        <f t="shared" si="22"/>
        <v>2.5</v>
      </c>
      <c r="V72" s="77">
        <f t="shared" si="23"/>
        <v>14.399999999999997</v>
      </c>
      <c r="W72" s="76">
        <f>((G72*0.3+MILK2024_Imperial!$J$22*0.7)/100)*MILK2024_Imperial!AT72</f>
        <v>4.5856445751997779</v>
      </c>
      <c r="X72" s="76">
        <f>((S72*0.3+MILK2024_Imperial!$L$22*0.7)/100)*MILK2024_Imperial!AT72</f>
        <v>2.8283731001045389</v>
      </c>
      <c r="Y72" s="76">
        <f>((T72*0.3+MILK2024_Imperial!$M$22*0.7)/100)*MILK2024_Imperial!AT72</f>
        <v>1.4298208821942155</v>
      </c>
      <c r="Z72" s="76">
        <f t="shared" si="24"/>
        <v>3.4787109692996374</v>
      </c>
      <c r="AA72" s="76">
        <f t="shared" si="25"/>
        <v>1.0436132907898912</v>
      </c>
      <c r="AB72" s="76">
        <f>AA72+MILK2024_Imperial!$U$32</f>
        <v>3.5106375837640469</v>
      </c>
      <c r="AC72" s="76">
        <f>($AC$10*0.2)/(MILK2024_Imperial!AT72)</f>
        <v>2.1952587200950457</v>
      </c>
      <c r="AD72" s="76">
        <f t="shared" si="26"/>
        <v>15.518325182771083</v>
      </c>
      <c r="AE72" s="76">
        <f t="shared" si="27"/>
        <v>3.2733558347128535</v>
      </c>
      <c r="AF72" s="46">
        <f>(AC72*MILK2024_Imperial!AT72)/1000</f>
        <v>6.0000000000000005E-2</v>
      </c>
      <c r="AG72" s="76">
        <f>(AD72*MILK2024_Imperial!AT72)/1000</f>
        <v>0.42414112853447733</v>
      </c>
      <c r="AH72" s="76">
        <f t="shared" si="28"/>
        <v>0.82301469114619663</v>
      </c>
      <c r="AI72" s="50">
        <f t="shared" si="29"/>
        <v>339.84845660228433</v>
      </c>
      <c r="AJ72" s="76">
        <f>(0.0146*AI72)/MILK2024_Imperial!AT72</f>
        <v>0.18154012004763848</v>
      </c>
      <c r="AK72" s="76">
        <f>(0.294*MILK2024_Imperial!AT72-0.347*(U72*0.3+MILK2024_Imperial!$U$17*0.7)+0.0409*(H72*0.3+$F$22*0.7))/MILK2024_Imperial!AT72</f>
        <v>0.28296826901575345</v>
      </c>
      <c r="AL72" s="76">
        <f t="shared" si="30"/>
        <v>2.8088474456494614</v>
      </c>
      <c r="AM72" s="76">
        <f t="shared" si="31"/>
        <v>1.8538393141286447</v>
      </c>
      <c r="AN72" s="76">
        <f t="shared" si="38"/>
        <v>33.538450980075311</v>
      </c>
      <c r="AO72" s="76">
        <f t="shared" si="32"/>
        <v>0.2972717251180757</v>
      </c>
      <c r="AP72" s="78">
        <f t="shared" si="33"/>
        <v>9.9700331806350047</v>
      </c>
      <c r="AQ72" s="78">
        <f t="shared" si="34"/>
        <v>0.8025160835789511</v>
      </c>
      <c r="AR72" s="78">
        <f t="shared" si="39"/>
        <v>13.473017811668925</v>
      </c>
      <c r="AS72" s="78">
        <f t="shared" si="35"/>
        <v>29.640639185671635</v>
      </c>
      <c r="AT72" s="78">
        <f t="shared" si="40"/>
        <v>27.331630413659056</v>
      </c>
      <c r="AU72" s="78">
        <f t="shared" si="36"/>
        <v>60.12958691004993</v>
      </c>
      <c r="AV72" s="78">
        <f t="shared" si="37"/>
        <v>18.038876073014979</v>
      </c>
      <c r="AW72" s="79">
        <f t="shared" si="41"/>
        <v>3286.3066485624522</v>
      </c>
      <c r="AX72" s="79">
        <f t="shared" si="42"/>
        <v>32863.06648562452</v>
      </c>
      <c r="AY72" s="30"/>
      <c r="AZ72" s="1"/>
    </row>
    <row r="73" spans="1:54" x14ac:dyDescent="0.2">
      <c r="A73" s="47" t="s">
        <v>228</v>
      </c>
      <c r="B73" s="47"/>
      <c r="C73" s="48">
        <v>10</v>
      </c>
      <c r="D73" s="48">
        <v>37.1</v>
      </c>
      <c r="E73" s="48">
        <v>76.8</v>
      </c>
      <c r="F73" s="48">
        <v>3.5</v>
      </c>
      <c r="G73" s="48">
        <v>7.4</v>
      </c>
      <c r="H73" s="80">
        <f>'Fiber_Ash Inputs'!V46</f>
        <v>35.6</v>
      </c>
      <c r="I73" s="80">
        <f>'Fiber_Ash Inputs'!W46</f>
        <v>64.2</v>
      </c>
      <c r="J73" s="80">
        <f>'Fiber_Ash Inputs'!X46</f>
        <v>7.9</v>
      </c>
      <c r="K73" s="80">
        <f>'Fiber_Ash Inputs'!U46</f>
        <v>3</v>
      </c>
      <c r="L73" s="76">
        <f t="shared" si="15"/>
        <v>24.35079535546226</v>
      </c>
      <c r="M73" s="76">
        <f t="shared" si="16"/>
        <v>94.616843393682686</v>
      </c>
      <c r="N73" s="76">
        <f t="shared" si="17"/>
        <v>22.191011235955056</v>
      </c>
      <c r="O73" s="76">
        <f t="shared" si="18"/>
        <v>22.191011235955056</v>
      </c>
      <c r="P73" s="76">
        <f>(100*((LN((100-O73)-I73)-4.6052)/-'Fiber_Ash Inputs'!$D$17))*'Fiber_Ash Inputs'!$C$17</f>
        <v>7.3869240261072449</v>
      </c>
      <c r="Q73" s="76">
        <f t="shared" si="19"/>
        <v>58.830414718402729</v>
      </c>
      <c r="R73" s="76">
        <f>IF('Fiber_Ash Inputs'!$B$11=30,MILK2024_Imperial!I73,IF('Fiber_Ash Inputs'!$B$11=48,MILK2024_Imperial!I73*0.926))</f>
        <v>64.2</v>
      </c>
      <c r="S73" s="76">
        <f t="shared" si="20"/>
        <v>5.6980000000000004</v>
      </c>
      <c r="T73" s="76">
        <f t="shared" si="21"/>
        <v>1.7094</v>
      </c>
      <c r="U73" s="46">
        <f t="shared" si="22"/>
        <v>2.5</v>
      </c>
      <c r="V73" s="77">
        <f t="shared" si="23"/>
        <v>14.399999999999997</v>
      </c>
      <c r="W73" s="76">
        <f>((G73*0.3+MILK2024_Imperial!$J$22*0.7)/100)*MILK2024_Imperial!AT73</f>
        <v>4.5856445751997779</v>
      </c>
      <c r="X73" s="76">
        <f>((S73*0.3+MILK2024_Imperial!$L$22*0.7)/100)*MILK2024_Imperial!AT73</f>
        <v>2.8283731001045389</v>
      </c>
      <c r="Y73" s="76">
        <f>((T73*0.3+MILK2024_Imperial!$M$22*0.7)/100)*MILK2024_Imperial!AT73</f>
        <v>1.4298208821942155</v>
      </c>
      <c r="Z73" s="76">
        <f t="shared" si="24"/>
        <v>3.4787109692996374</v>
      </c>
      <c r="AA73" s="76">
        <f t="shared" si="25"/>
        <v>1.0436132907898912</v>
      </c>
      <c r="AB73" s="76">
        <f>AA73+MILK2024_Imperial!$U$32</f>
        <v>3.5106375837640469</v>
      </c>
      <c r="AC73" s="76">
        <f>($AC$10*0.2)/(MILK2024_Imperial!AT73)</f>
        <v>2.1952587200950457</v>
      </c>
      <c r="AD73" s="76">
        <f t="shared" si="26"/>
        <v>15.518325182771083</v>
      </c>
      <c r="AE73" s="76">
        <f t="shared" si="27"/>
        <v>3.2733558347128535</v>
      </c>
      <c r="AF73" s="46">
        <f>(AC73*MILK2024_Imperial!AT73)/1000</f>
        <v>6.0000000000000005E-2</v>
      </c>
      <c r="AG73" s="76">
        <f>(AD73*MILK2024_Imperial!AT73)/1000</f>
        <v>0.42414112853447733</v>
      </c>
      <c r="AH73" s="76">
        <f t="shared" si="28"/>
        <v>0.82301469114619663</v>
      </c>
      <c r="AI73" s="50">
        <f t="shared" si="29"/>
        <v>339.84845660228433</v>
      </c>
      <c r="AJ73" s="76">
        <f>(0.0146*AI73)/MILK2024_Imperial!AT73</f>
        <v>0.18154012004763848</v>
      </c>
      <c r="AK73" s="76">
        <f>(0.294*MILK2024_Imperial!AT73-0.347*(U73*0.3+MILK2024_Imperial!$U$17*0.7)+0.0409*(H73*0.3+$F$22*0.7))/MILK2024_Imperial!AT73</f>
        <v>0.28296826901575345</v>
      </c>
      <c r="AL73" s="76">
        <f t="shared" si="30"/>
        <v>2.8088474456494614</v>
      </c>
      <c r="AM73" s="76">
        <f t="shared" si="31"/>
        <v>1.8538393141286447</v>
      </c>
      <c r="AN73" s="76">
        <f t="shared" si="38"/>
        <v>33.538450980075311</v>
      </c>
      <c r="AO73" s="76">
        <f t="shared" si="32"/>
        <v>0.2972717251180757</v>
      </c>
      <c r="AP73" s="78">
        <f t="shared" si="33"/>
        <v>9.9700331806350047</v>
      </c>
      <c r="AQ73" s="78">
        <f t="shared" si="34"/>
        <v>0.8025160835789511</v>
      </c>
      <c r="AR73" s="78">
        <f t="shared" si="39"/>
        <v>13.473017811668925</v>
      </c>
      <c r="AS73" s="78">
        <f t="shared" si="35"/>
        <v>29.640639185671635</v>
      </c>
      <c r="AT73" s="78">
        <f t="shared" si="40"/>
        <v>27.331630413659056</v>
      </c>
      <c r="AU73" s="78">
        <f t="shared" si="36"/>
        <v>60.12958691004993</v>
      </c>
      <c r="AV73" s="78">
        <f t="shared" si="37"/>
        <v>18.038876073014979</v>
      </c>
      <c r="AW73" s="79">
        <f t="shared" si="41"/>
        <v>3286.3066485624522</v>
      </c>
      <c r="AX73" s="79">
        <f t="shared" si="42"/>
        <v>32863.06648562452</v>
      </c>
      <c r="AY73" s="30"/>
      <c r="AZ73" s="1"/>
    </row>
    <row r="74" spans="1:54" x14ac:dyDescent="0.2">
      <c r="A74" s="47" t="s">
        <v>229</v>
      </c>
      <c r="B74" s="47"/>
      <c r="C74" s="48">
        <v>10</v>
      </c>
      <c r="D74" s="48">
        <v>37.1</v>
      </c>
      <c r="E74" s="48">
        <v>76.8</v>
      </c>
      <c r="F74" s="48">
        <v>3.5</v>
      </c>
      <c r="G74" s="48">
        <v>7.4</v>
      </c>
      <c r="H74" s="80">
        <f>'Fiber_Ash Inputs'!V47</f>
        <v>35.6</v>
      </c>
      <c r="I74" s="80">
        <f>'Fiber_Ash Inputs'!W47</f>
        <v>64.2</v>
      </c>
      <c r="J74" s="80">
        <f>'Fiber_Ash Inputs'!X47</f>
        <v>7.9</v>
      </c>
      <c r="K74" s="80">
        <f>'Fiber_Ash Inputs'!U47</f>
        <v>3</v>
      </c>
      <c r="L74" s="76">
        <f t="shared" si="15"/>
        <v>24.35079535546226</v>
      </c>
      <c r="M74" s="76">
        <f t="shared" si="16"/>
        <v>94.616843393682686</v>
      </c>
      <c r="N74" s="76">
        <f t="shared" si="17"/>
        <v>22.191011235955056</v>
      </c>
      <c r="O74" s="76">
        <f t="shared" si="18"/>
        <v>22.191011235955056</v>
      </c>
      <c r="P74" s="76">
        <f>(100*((LN((100-O74)-I74)-4.6052)/-'Fiber_Ash Inputs'!$D$17))*'Fiber_Ash Inputs'!$C$17</f>
        <v>7.3869240261072449</v>
      </c>
      <c r="Q74" s="76">
        <f t="shared" si="19"/>
        <v>58.830414718402729</v>
      </c>
      <c r="R74" s="76">
        <f>IF('Fiber_Ash Inputs'!$B$11=30,MILK2024_Imperial!I74,IF('Fiber_Ash Inputs'!$B$11=48,MILK2024_Imperial!I74*0.926))</f>
        <v>64.2</v>
      </c>
      <c r="S74" s="76">
        <f t="shared" si="20"/>
        <v>5.6980000000000004</v>
      </c>
      <c r="T74" s="76">
        <f t="shared" si="21"/>
        <v>1.7094</v>
      </c>
      <c r="U74" s="46">
        <f t="shared" si="22"/>
        <v>2.5</v>
      </c>
      <c r="V74" s="77">
        <f t="shared" si="23"/>
        <v>14.399999999999997</v>
      </c>
      <c r="W74" s="76">
        <f>((G74*0.3+MILK2024_Imperial!$J$22*0.7)/100)*MILK2024_Imperial!AT74</f>
        <v>4.5856445751997779</v>
      </c>
      <c r="X74" s="76">
        <f>((S74*0.3+MILK2024_Imperial!$L$22*0.7)/100)*MILK2024_Imperial!AT74</f>
        <v>2.8283731001045389</v>
      </c>
      <c r="Y74" s="76">
        <f>((T74*0.3+MILK2024_Imperial!$M$22*0.7)/100)*MILK2024_Imperial!AT74</f>
        <v>1.4298208821942155</v>
      </c>
      <c r="Z74" s="76">
        <f t="shared" si="24"/>
        <v>3.4787109692996374</v>
      </c>
      <c r="AA74" s="76">
        <f t="shared" si="25"/>
        <v>1.0436132907898912</v>
      </c>
      <c r="AB74" s="76">
        <f>AA74+MILK2024_Imperial!$U$32</f>
        <v>3.5106375837640469</v>
      </c>
      <c r="AC74" s="76">
        <f>($AC$10*0.2)/(MILK2024_Imperial!AT74)</f>
        <v>2.1952587200950457</v>
      </c>
      <c r="AD74" s="76">
        <f t="shared" si="26"/>
        <v>15.518325182771083</v>
      </c>
      <c r="AE74" s="76">
        <f t="shared" si="27"/>
        <v>3.2733558347128535</v>
      </c>
      <c r="AF74" s="46">
        <f>(AC74*MILK2024_Imperial!AT74)/1000</f>
        <v>6.0000000000000005E-2</v>
      </c>
      <c r="AG74" s="76">
        <f>(AD74*MILK2024_Imperial!AT74)/1000</f>
        <v>0.42414112853447733</v>
      </c>
      <c r="AH74" s="76">
        <f t="shared" si="28"/>
        <v>0.82301469114619663</v>
      </c>
      <c r="AI74" s="50">
        <f t="shared" si="29"/>
        <v>339.84845660228433</v>
      </c>
      <c r="AJ74" s="76">
        <f>(0.0146*AI74)/MILK2024_Imperial!AT74</f>
        <v>0.18154012004763848</v>
      </c>
      <c r="AK74" s="76">
        <f>(0.294*MILK2024_Imperial!AT74-0.347*(U74*0.3+MILK2024_Imperial!$U$17*0.7)+0.0409*(H74*0.3+$F$22*0.7))/MILK2024_Imperial!AT74</f>
        <v>0.28296826901575345</v>
      </c>
      <c r="AL74" s="76">
        <f t="shared" si="30"/>
        <v>2.8088474456494614</v>
      </c>
      <c r="AM74" s="76">
        <f t="shared" si="31"/>
        <v>1.8538393141286447</v>
      </c>
      <c r="AN74" s="76">
        <f t="shared" si="38"/>
        <v>33.538450980075311</v>
      </c>
      <c r="AO74" s="76">
        <f t="shared" si="32"/>
        <v>0.2972717251180757</v>
      </c>
      <c r="AP74" s="78">
        <f t="shared" si="33"/>
        <v>9.9700331806350047</v>
      </c>
      <c r="AQ74" s="78">
        <f t="shared" si="34"/>
        <v>0.8025160835789511</v>
      </c>
      <c r="AR74" s="78">
        <f t="shared" si="39"/>
        <v>13.473017811668925</v>
      </c>
      <c r="AS74" s="78">
        <f t="shared" si="35"/>
        <v>29.640639185671635</v>
      </c>
      <c r="AT74" s="78">
        <f t="shared" si="40"/>
        <v>27.331630413659056</v>
      </c>
      <c r="AU74" s="78">
        <f t="shared" si="36"/>
        <v>60.12958691004993</v>
      </c>
      <c r="AV74" s="78">
        <f t="shared" si="37"/>
        <v>18.038876073014979</v>
      </c>
      <c r="AW74" s="79">
        <f t="shared" si="41"/>
        <v>3286.3066485624522</v>
      </c>
      <c r="AX74" s="79">
        <f t="shared" si="42"/>
        <v>32863.06648562452</v>
      </c>
      <c r="AY74" s="30"/>
      <c r="AZ74" s="1"/>
    </row>
    <row r="75" spans="1:54" x14ac:dyDescent="0.2">
      <c r="A75" s="47" t="s">
        <v>230</v>
      </c>
      <c r="B75" s="47"/>
      <c r="C75" s="48">
        <v>10</v>
      </c>
      <c r="D75" s="48">
        <v>37.1</v>
      </c>
      <c r="E75" s="48">
        <v>76.8</v>
      </c>
      <c r="F75" s="48">
        <v>3.5</v>
      </c>
      <c r="G75" s="48">
        <v>7.4</v>
      </c>
      <c r="H75" s="80">
        <f>'Fiber_Ash Inputs'!V48</f>
        <v>35.6</v>
      </c>
      <c r="I75" s="80">
        <f>'Fiber_Ash Inputs'!W48</f>
        <v>64.2</v>
      </c>
      <c r="J75" s="80">
        <f>'Fiber_Ash Inputs'!X48</f>
        <v>7.9</v>
      </c>
      <c r="K75" s="80">
        <f>'Fiber_Ash Inputs'!U48</f>
        <v>3</v>
      </c>
      <c r="L75" s="76">
        <f t="shared" si="15"/>
        <v>24.35079535546226</v>
      </c>
      <c r="M75" s="76">
        <f t="shared" si="16"/>
        <v>94.616843393682686</v>
      </c>
      <c r="N75" s="76">
        <f t="shared" si="17"/>
        <v>22.191011235955056</v>
      </c>
      <c r="O75" s="76">
        <f t="shared" si="18"/>
        <v>22.191011235955056</v>
      </c>
      <c r="P75" s="76">
        <f>(100*((LN((100-O75)-I75)-4.6052)/-'Fiber_Ash Inputs'!$D$17))*'Fiber_Ash Inputs'!$C$17</f>
        <v>7.3869240261072449</v>
      </c>
      <c r="Q75" s="76">
        <f t="shared" si="19"/>
        <v>58.830414718402729</v>
      </c>
      <c r="R75" s="76">
        <f>IF('Fiber_Ash Inputs'!$B$11=30,MILK2024_Imperial!I75,IF('Fiber_Ash Inputs'!$B$11=48,MILK2024_Imperial!I75*0.926))</f>
        <v>64.2</v>
      </c>
      <c r="S75" s="76">
        <f t="shared" si="20"/>
        <v>5.6980000000000004</v>
      </c>
      <c r="T75" s="76">
        <f t="shared" si="21"/>
        <v>1.7094</v>
      </c>
      <c r="U75" s="46">
        <f t="shared" si="22"/>
        <v>2.5</v>
      </c>
      <c r="V75" s="77">
        <f t="shared" si="23"/>
        <v>14.399999999999997</v>
      </c>
      <c r="W75" s="76">
        <f>((G75*0.3+MILK2024_Imperial!$J$22*0.7)/100)*MILK2024_Imperial!AT75</f>
        <v>4.5856445751997779</v>
      </c>
      <c r="X75" s="76">
        <f>((S75*0.3+MILK2024_Imperial!$L$22*0.7)/100)*MILK2024_Imperial!AT75</f>
        <v>2.8283731001045389</v>
      </c>
      <c r="Y75" s="76">
        <f>((T75*0.3+MILK2024_Imperial!$M$22*0.7)/100)*MILK2024_Imperial!AT75</f>
        <v>1.4298208821942155</v>
      </c>
      <c r="Z75" s="76">
        <f t="shared" si="24"/>
        <v>3.4787109692996374</v>
      </c>
      <c r="AA75" s="76">
        <f t="shared" si="25"/>
        <v>1.0436132907898912</v>
      </c>
      <c r="AB75" s="76">
        <f>AA75+MILK2024_Imperial!$U$32</f>
        <v>3.5106375837640469</v>
      </c>
      <c r="AC75" s="76">
        <f>($AC$10*0.2)/(MILK2024_Imperial!AT75)</f>
        <v>2.1952587200950457</v>
      </c>
      <c r="AD75" s="76">
        <f t="shared" si="26"/>
        <v>15.518325182771083</v>
      </c>
      <c r="AE75" s="76">
        <f t="shared" si="27"/>
        <v>3.2733558347128535</v>
      </c>
      <c r="AF75" s="46">
        <f>(AC75*MILK2024_Imperial!AT75)/1000</f>
        <v>6.0000000000000005E-2</v>
      </c>
      <c r="AG75" s="76">
        <f>(AD75*MILK2024_Imperial!AT75)/1000</f>
        <v>0.42414112853447733</v>
      </c>
      <c r="AH75" s="76">
        <f t="shared" si="28"/>
        <v>0.82301469114619663</v>
      </c>
      <c r="AI75" s="50">
        <f t="shared" si="29"/>
        <v>339.84845660228433</v>
      </c>
      <c r="AJ75" s="76">
        <f>(0.0146*AI75)/MILK2024_Imperial!AT75</f>
        <v>0.18154012004763848</v>
      </c>
      <c r="AK75" s="76">
        <f>(0.294*MILK2024_Imperial!AT75-0.347*(U75*0.3+MILK2024_Imperial!$U$17*0.7)+0.0409*(H75*0.3+$F$22*0.7))/MILK2024_Imperial!AT75</f>
        <v>0.28296826901575345</v>
      </c>
      <c r="AL75" s="76">
        <f t="shared" si="30"/>
        <v>2.8088474456494614</v>
      </c>
      <c r="AM75" s="76">
        <f t="shared" si="31"/>
        <v>1.8538393141286447</v>
      </c>
      <c r="AN75" s="76">
        <f t="shared" si="38"/>
        <v>33.538450980075311</v>
      </c>
      <c r="AO75" s="76">
        <f t="shared" si="32"/>
        <v>0.2972717251180757</v>
      </c>
      <c r="AP75" s="78">
        <f t="shared" si="33"/>
        <v>9.9700331806350047</v>
      </c>
      <c r="AQ75" s="78">
        <f t="shared" si="34"/>
        <v>0.8025160835789511</v>
      </c>
      <c r="AR75" s="78">
        <f t="shared" si="39"/>
        <v>13.473017811668925</v>
      </c>
      <c r="AS75" s="78">
        <f t="shared" si="35"/>
        <v>29.640639185671635</v>
      </c>
      <c r="AT75" s="78">
        <f t="shared" si="40"/>
        <v>27.331630413659056</v>
      </c>
      <c r="AU75" s="78">
        <f t="shared" si="36"/>
        <v>60.12958691004993</v>
      </c>
      <c r="AV75" s="78">
        <f t="shared" si="37"/>
        <v>18.038876073014979</v>
      </c>
      <c r="AW75" s="79">
        <f t="shared" si="41"/>
        <v>3286.3066485624522</v>
      </c>
      <c r="AX75" s="79">
        <f t="shared" si="42"/>
        <v>32863.06648562452</v>
      </c>
      <c r="AY75" s="30"/>
      <c r="AZ75" s="1"/>
    </row>
    <row r="76" spans="1:54" x14ac:dyDescent="0.2">
      <c r="A76" s="47" t="s">
        <v>231</v>
      </c>
      <c r="B76" s="47"/>
      <c r="C76" s="48">
        <v>10</v>
      </c>
      <c r="D76" s="48">
        <v>37.1</v>
      </c>
      <c r="E76" s="48">
        <v>76.8</v>
      </c>
      <c r="F76" s="48">
        <v>3.5</v>
      </c>
      <c r="G76" s="48">
        <v>7.4</v>
      </c>
      <c r="H76" s="80">
        <f>'Fiber_Ash Inputs'!V49</f>
        <v>35.6</v>
      </c>
      <c r="I76" s="80">
        <f>'Fiber_Ash Inputs'!W49</f>
        <v>64.2</v>
      </c>
      <c r="J76" s="80">
        <f>'Fiber_Ash Inputs'!X49</f>
        <v>7.9</v>
      </c>
      <c r="K76" s="80">
        <f>'Fiber_Ash Inputs'!U49</f>
        <v>3</v>
      </c>
      <c r="L76" s="76">
        <f t="shared" si="15"/>
        <v>24.35079535546226</v>
      </c>
      <c r="M76" s="76">
        <f t="shared" si="16"/>
        <v>94.616843393682686</v>
      </c>
      <c r="N76" s="76">
        <f t="shared" si="17"/>
        <v>22.191011235955056</v>
      </c>
      <c r="O76" s="76">
        <f t="shared" si="18"/>
        <v>22.191011235955056</v>
      </c>
      <c r="P76" s="76">
        <f>(100*((LN((100-O76)-I76)-4.6052)/-'Fiber_Ash Inputs'!$D$17))*'Fiber_Ash Inputs'!$C$17</f>
        <v>7.3869240261072449</v>
      </c>
      <c r="Q76" s="76">
        <f t="shared" si="19"/>
        <v>58.830414718402729</v>
      </c>
      <c r="R76" s="76">
        <f>IF('Fiber_Ash Inputs'!$B$11=30,MILK2024_Imperial!I76,IF('Fiber_Ash Inputs'!$B$11=48,MILK2024_Imperial!I76*0.926))</f>
        <v>64.2</v>
      </c>
      <c r="S76" s="76">
        <f t="shared" si="20"/>
        <v>5.6980000000000004</v>
      </c>
      <c r="T76" s="76">
        <f t="shared" si="21"/>
        <v>1.7094</v>
      </c>
      <c r="U76" s="46">
        <f t="shared" si="22"/>
        <v>2.5</v>
      </c>
      <c r="V76" s="77">
        <f t="shared" si="23"/>
        <v>14.399999999999997</v>
      </c>
      <c r="W76" s="76">
        <f>((G76*0.3+MILK2024_Imperial!$J$22*0.7)/100)*MILK2024_Imperial!AT76</f>
        <v>4.5856445751997779</v>
      </c>
      <c r="X76" s="76">
        <f>((S76*0.3+MILK2024_Imperial!$L$22*0.7)/100)*MILK2024_Imperial!AT76</f>
        <v>2.8283731001045389</v>
      </c>
      <c r="Y76" s="76">
        <f>((T76*0.3+MILK2024_Imperial!$M$22*0.7)/100)*MILK2024_Imperial!AT76</f>
        <v>1.4298208821942155</v>
      </c>
      <c r="Z76" s="76">
        <f t="shared" si="24"/>
        <v>3.4787109692996374</v>
      </c>
      <c r="AA76" s="76">
        <f t="shared" si="25"/>
        <v>1.0436132907898912</v>
      </c>
      <c r="AB76" s="76">
        <f>AA76+MILK2024_Imperial!$U$32</f>
        <v>3.5106375837640469</v>
      </c>
      <c r="AC76" s="76">
        <f>($AC$10*0.2)/(MILK2024_Imperial!AT76)</f>
        <v>2.1952587200950457</v>
      </c>
      <c r="AD76" s="76">
        <f t="shared" si="26"/>
        <v>15.518325182771083</v>
      </c>
      <c r="AE76" s="76">
        <f t="shared" si="27"/>
        <v>3.2733558347128535</v>
      </c>
      <c r="AF76" s="46">
        <f>(AC76*MILK2024_Imperial!AT76)/1000</f>
        <v>6.0000000000000005E-2</v>
      </c>
      <c r="AG76" s="76">
        <f>(AD76*MILK2024_Imperial!AT76)/1000</f>
        <v>0.42414112853447733</v>
      </c>
      <c r="AH76" s="76">
        <f t="shared" si="28"/>
        <v>0.82301469114619663</v>
      </c>
      <c r="AI76" s="50">
        <f t="shared" si="29"/>
        <v>339.84845660228433</v>
      </c>
      <c r="AJ76" s="76">
        <f>(0.0146*AI76)/MILK2024_Imperial!AT76</f>
        <v>0.18154012004763848</v>
      </c>
      <c r="AK76" s="76">
        <f>(0.294*MILK2024_Imperial!AT76-0.347*(U76*0.3+MILK2024_Imperial!$U$17*0.7)+0.0409*(H76*0.3+$F$22*0.7))/MILK2024_Imperial!AT76</f>
        <v>0.28296826901575345</v>
      </c>
      <c r="AL76" s="76">
        <f t="shared" si="30"/>
        <v>2.8088474456494614</v>
      </c>
      <c r="AM76" s="76">
        <f t="shared" si="31"/>
        <v>1.8538393141286447</v>
      </c>
      <c r="AN76" s="76">
        <f t="shared" si="38"/>
        <v>33.538450980075311</v>
      </c>
      <c r="AO76" s="76">
        <f t="shared" si="32"/>
        <v>0.2972717251180757</v>
      </c>
      <c r="AP76" s="78">
        <f t="shared" si="33"/>
        <v>9.9700331806350047</v>
      </c>
      <c r="AQ76" s="78">
        <f t="shared" si="34"/>
        <v>0.8025160835789511</v>
      </c>
      <c r="AR76" s="78">
        <f t="shared" si="39"/>
        <v>13.473017811668925</v>
      </c>
      <c r="AS76" s="78">
        <f t="shared" si="35"/>
        <v>29.640639185671635</v>
      </c>
      <c r="AT76" s="78">
        <f t="shared" si="40"/>
        <v>27.331630413659056</v>
      </c>
      <c r="AU76" s="78">
        <f t="shared" si="36"/>
        <v>60.12958691004993</v>
      </c>
      <c r="AV76" s="78">
        <f t="shared" si="37"/>
        <v>18.038876073014979</v>
      </c>
      <c r="AW76" s="79">
        <f t="shared" si="41"/>
        <v>3286.3066485624522</v>
      </c>
      <c r="AX76" s="79">
        <f t="shared" si="42"/>
        <v>32863.06648562452</v>
      </c>
      <c r="AY76" s="30"/>
      <c r="AZ76" s="1"/>
    </row>
    <row r="77" spans="1:54" x14ac:dyDescent="0.2">
      <c r="A77" s="47" t="s">
        <v>232</v>
      </c>
      <c r="B77" s="47"/>
      <c r="C77" s="48">
        <v>10</v>
      </c>
      <c r="D77" s="48">
        <v>37.1</v>
      </c>
      <c r="E77" s="48">
        <v>76.8</v>
      </c>
      <c r="F77" s="48">
        <v>3.5</v>
      </c>
      <c r="G77" s="48">
        <v>7.4</v>
      </c>
      <c r="H77" s="80">
        <f>'Fiber_Ash Inputs'!V50</f>
        <v>35.6</v>
      </c>
      <c r="I77" s="80">
        <f>'Fiber_Ash Inputs'!W50</f>
        <v>64.2</v>
      </c>
      <c r="J77" s="80">
        <f>'Fiber_Ash Inputs'!X50</f>
        <v>7.9</v>
      </c>
      <c r="K77" s="80">
        <f>'Fiber_Ash Inputs'!U50</f>
        <v>3</v>
      </c>
      <c r="L77" s="76">
        <f t="shared" si="15"/>
        <v>24.35079535546226</v>
      </c>
      <c r="M77" s="76">
        <f t="shared" si="16"/>
        <v>94.616843393682686</v>
      </c>
      <c r="N77" s="76">
        <f t="shared" si="17"/>
        <v>22.191011235955056</v>
      </c>
      <c r="O77" s="76">
        <f t="shared" si="18"/>
        <v>22.191011235955056</v>
      </c>
      <c r="P77" s="76">
        <f>(100*((LN((100-O77)-I77)-4.6052)/-'Fiber_Ash Inputs'!$D$17))*'Fiber_Ash Inputs'!$C$17</f>
        <v>7.3869240261072449</v>
      </c>
      <c r="Q77" s="76">
        <f t="shared" si="19"/>
        <v>58.830414718402729</v>
      </c>
      <c r="R77" s="76">
        <f>IF('Fiber_Ash Inputs'!$B$11=30,MILK2024_Imperial!I77,IF('Fiber_Ash Inputs'!$B$11=48,MILK2024_Imperial!I77*0.926))</f>
        <v>64.2</v>
      </c>
      <c r="S77" s="76">
        <f t="shared" si="20"/>
        <v>5.6980000000000004</v>
      </c>
      <c r="T77" s="76">
        <f t="shared" si="21"/>
        <v>1.7094</v>
      </c>
      <c r="U77" s="46">
        <f t="shared" si="22"/>
        <v>2.5</v>
      </c>
      <c r="V77" s="77">
        <f t="shared" si="23"/>
        <v>14.399999999999997</v>
      </c>
      <c r="W77" s="76">
        <f>((G77*0.3+MILK2024_Imperial!$J$22*0.7)/100)*MILK2024_Imperial!AT77</f>
        <v>4.5856445751997779</v>
      </c>
      <c r="X77" s="76">
        <f>((S77*0.3+MILK2024_Imperial!$L$22*0.7)/100)*MILK2024_Imperial!AT77</f>
        <v>2.8283731001045389</v>
      </c>
      <c r="Y77" s="76">
        <f>((T77*0.3+MILK2024_Imperial!$M$22*0.7)/100)*MILK2024_Imperial!AT77</f>
        <v>1.4298208821942155</v>
      </c>
      <c r="Z77" s="76">
        <f t="shared" si="24"/>
        <v>3.4787109692996374</v>
      </c>
      <c r="AA77" s="76">
        <f t="shared" si="25"/>
        <v>1.0436132907898912</v>
      </c>
      <c r="AB77" s="76">
        <f>AA77+MILK2024_Imperial!$U$32</f>
        <v>3.5106375837640469</v>
      </c>
      <c r="AC77" s="76">
        <f>($AC$10*0.2)/(MILK2024_Imperial!AT77)</f>
        <v>2.1952587200950457</v>
      </c>
      <c r="AD77" s="76">
        <f t="shared" si="26"/>
        <v>15.518325182771083</v>
      </c>
      <c r="AE77" s="76">
        <f t="shared" si="27"/>
        <v>3.2733558347128535</v>
      </c>
      <c r="AF77" s="46">
        <f>(AC77*MILK2024_Imperial!AT77)/1000</f>
        <v>6.0000000000000005E-2</v>
      </c>
      <c r="AG77" s="76">
        <f>(AD77*MILK2024_Imperial!AT77)/1000</f>
        <v>0.42414112853447733</v>
      </c>
      <c r="AH77" s="76">
        <f t="shared" si="28"/>
        <v>0.82301469114619663</v>
      </c>
      <c r="AI77" s="50">
        <f t="shared" si="29"/>
        <v>339.84845660228433</v>
      </c>
      <c r="AJ77" s="76">
        <f>(0.0146*AI77)/MILK2024_Imperial!AT77</f>
        <v>0.18154012004763848</v>
      </c>
      <c r="AK77" s="76">
        <f>(0.294*MILK2024_Imperial!AT77-0.347*(U77*0.3+MILK2024_Imperial!$U$17*0.7)+0.0409*(H77*0.3+$F$22*0.7))/MILK2024_Imperial!AT77</f>
        <v>0.28296826901575345</v>
      </c>
      <c r="AL77" s="76">
        <f t="shared" si="30"/>
        <v>2.8088474456494614</v>
      </c>
      <c r="AM77" s="76">
        <f t="shared" si="31"/>
        <v>1.8538393141286447</v>
      </c>
      <c r="AN77" s="76">
        <f t="shared" si="38"/>
        <v>33.538450980075311</v>
      </c>
      <c r="AO77" s="76">
        <f t="shared" si="32"/>
        <v>0.2972717251180757</v>
      </c>
      <c r="AP77" s="78">
        <f t="shared" si="33"/>
        <v>9.9700331806350047</v>
      </c>
      <c r="AQ77" s="78">
        <f t="shared" si="34"/>
        <v>0.8025160835789511</v>
      </c>
      <c r="AR77" s="78">
        <f t="shared" si="39"/>
        <v>13.473017811668925</v>
      </c>
      <c r="AS77" s="78">
        <f t="shared" si="35"/>
        <v>29.640639185671635</v>
      </c>
      <c r="AT77" s="78">
        <f t="shared" si="40"/>
        <v>27.331630413659056</v>
      </c>
      <c r="AU77" s="78">
        <f t="shared" si="36"/>
        <v>60.12958691004993</v>
      </c>
      <c r="AV77" s="78">
        <f t="shared" si="37"/>
        <v>18.038876073014979</v>
      </c>
      <c r="AW77" s="79">
        <f t="shared" si="41"/>
        <v>3286.3066485624522</v>
      </c>
      <c r="AX77" s="79">
        <f t="shared" si="42"/>
        <v>32863.06648562452</v>
      </c>
      <c r="AY77" s="30"/>
      <c r="AZ77" s="1"/>
    </row>
    <row r="78" spans="1:54" x14ac:dyDescent="0.2">
      <c r="A78" s="47" t="s">
        <v>233</v>
      </c>
      <c r="B78" s="47"/>
      <c r="C78" s="48">
        <v>10</v>
      </c>
      <c r="D78" s="48">
        <v>37.1</v>
      </c>
      <c r="E78" s="48">
        <v>76.8</v>
      </c>
      <c r="F78" s="48">
        <v>3.5</v>
      </c>
      <c r="G78" s="48">
        <v>7.4</v>
      </c>
      <c r="H78" s="80">
        <f>'Fiber_Ash Inputs'!V51</f>
        <v>35.6</v>
      </c>
      <c r="I78" s="80">
        <f>'Fiber_Ash Inputs'!W51</f>
        <v>64.2</v>
      </c>
      <c r="J78" s="80">
        <f>'Fiber_Ash Inputs'!X51</f>
        <v>7.9</v>
      </c>
      <c r="K78" s="80">
        <f>'Fiber_Ash Inputs'!U51</f>
        <v>3</v>
      </c>
      <c r="L78" s="76">
        <f t="shared" si="15"/>
        <v>24.35079535546226</v>
      </c>
      <c r="M78" s="76">
        <f t="shared" si="16"/>
        <v>94.616843393682686</v>
      </c>
      <c r="N78" s="76">
        <f t="shared" si="17"/>
        <v>22.191011235955056</v>
      </c>
      <c r="O78" s="76">
        <f t="shared" si="18"/>
        <v>22.191011235955056</v>
      </c>
      <c r="P78" s="76">
        <f>(100*((LN((100-O78)-I78)-4.6052)/-'Fiber_Ash Inputs'!$D$17))*'Fiber_Ash Inputs'!$C$17</f>
        <v>7.3869240261072449</v>
      </c>
      <c r="Q78" s="76">
        <f t="shared" si="19"/>
        <v>58.830414718402729</v>
      </c>
      <c r="R78" s="76">
        <f>IF('Fiber_Ash Inputs'!$B$11=30,MILK2024_Imperial!I78,IF('Fiber_Ash Inputs'!$B$11=48,MILK2024_Imperial!I78*0.926))</f>
        <v>64.2</v>
      </c>
      <c r="S78" s="76">
        <f t="shared" si="20"/>
        <v>5.6980000000000004</v>
      </c>
      <c r="T78" s="76">
        <f t="shared" si="21"/>
        <v>1.7094</v>
      </c>
      <c r="U78" s="46">
        <f t="shared" si="22"/>
        <v>2.5</v>
      </c>
      <c r="V78" s="77">
        <f t="shared" si="23"/>
        <v>14.399999999999997</v>
      </c>
      <c r="W78" s="76">
        <f>((G78*0.3+MILK2024_Imperial!$J$22*0.7)/100)*MILK2024_Imperial!AT78</f>
        <v>4.5856445751997779</v>
      </c>
      <c r="X78" s="76">
        <f>((S78*0.3+MILK2024_Imperial!$L$22*0.7)/100)*MILK2024_Imperial!AT78</f>
        <v>2.8283731001045389</v>
      </c>
      <c r="Y78" s="76">
        <f>((T78*0.3+MILK2024_Imperial!$M$22*0.7)/100)*MILK2024_Imperial!AT78</f>
        <v>1.4298208821942155</v>
      </c>
      <c r="Z78" s="76">
        <f t="shared" si="24"/>
        <v>3.4787109692996374</v>
      </c>
      <c r="AA78" s="76">
        <f t="shared" si="25"/>
        <v>1.0436132907898912</v>
      </c>
      <c r="AB78" s="76">
        <f>AA78+MILK2024_Imperial!$U$32</f>
        <v>3.5106375837640469</v>
      </c>
      <c r="AC78" s="76">
        <f>($AC$10*0.2)/(MILK2024_Imperial!AT78)</f>
        <v>2.1952587200950457</v>
      </c>
      <c r="AD78" s="76">
        <f t="shared" si="26"/>
        <v>15.518325182771083</v>
      </c>
      <c r="AE78" s="76">
        <f t="shared" si="27"/>
        <v>3.2733558347128535</v>
      </c>
      <c r="AF78" s="46">
        <f>(AC78*MILK2024_Imperial!AT78)/1000</f>
        <v>6.0000000000000005E-2</v>
      </c>
      <c r="AG78" s="76">
        <f>(AD78*MILK2024_Imperial!AT78)/1000</f>
        <v>0.42414112853447733</v>
      </c>
      <c r="AH78" s="76">
        <f t="shared" si="28"/>
        <v>0.82301469114619663</v>
      </c>
      <c r="AI78" s="50">
        <f t="shared" si="29"/>
        <v>339.84845660228433</v>
      </c>
      <c r="AJ78" s="76">
        <f>(0.0146*AI78)/MILK2024_Imperial!AT78</f>
        <v>0.18154012004763848</v>
      </c>
      <c r="AK78" s="76">
        <f>(0.294*MILK2024_Imperial!AT78-0.347*(U78*0.3+MILK2024_Imperial!$U$17*0.7)+0.0409*(H78*0.3+$F$22*0.7))/MILK2024_Imperial!AT78</f>
        <v>0.28296826901575345</v>
      </c>
      <c r="AL78" s="76">
        <f t="shared" si="30"/>
        <v>2.8088474456494614</v>
      </c>
      <c r="AM78" s="76">
        <f t="shared" si="31"/>
        <v>1.8538393141286447</v>
      </c>
      <c r="AN78" s="76">
        <f t="shared" si="38"/>
        <v>33.538450980075311</v>
      </c>
      <c r="AO78" s="76">
        <f t="shared" si="32"/>
        <v>0.2972717251180757</v>
      </c>
      <c r="AP78" s="78">
        <f t="shared" si="33"/>
        <v>9.9700331806350047</v>
      </c>
      <c r="AQ78" s="78">
        <f t="shared" si="34"/>
        <v>0.8025160835789511</v>
      </c>
      <c r="AR78" s="78">
        <f t="shared" si="39"/>
        <v>13.473017811668925</v>
      </c>
      <c r="AS78" s="78">
        <f t="shared" si="35"/>
        <v>29.640639185671635</v>
      </c>
      <c r="AT78" s="78">
        <f t="shared" si="40"/>
        <v>27.331630413659056</v>
      </c>
      <c r="AU78" s="78">
        <f t="shared" si="36"/>
        <v>60.12958691004993</v>
      </c>
      <c r="AV78" s="78">
        <f t="shared" si="37"/>
        <v>18.038876073014979</v>
      </c>
      <c r="AW78" s="79">
        <f t="shared" si="41"/>
        <v>3286.3066485624522</v>
      </c>
      <c r="AX78" s="79">
        <f t="shared" si="42"/>
        <v>32863.06648562452</v>
      </c>
      <c r="AY78" s="30"/>
      <c r="AZ78" s="1"/>
    </row>
    <row r="79" spans="1:54" x14ac:dyDescent="0.2">
      <c r="A79" s="47" t="s">
        <v>234</v>
      </c>
      <c r="B79" s="47"/>
      <c r="C79" s="48">
        <v>10</v>
      </c>
      <c r="D79" s="48">
        <v>37.1</v>
      </c>
      <c r="E79" s="48">
        <v>76.8</v>
      </c>
      <c r="F79" s="48">
        <v>3.5</v>
      </c>
      <c r="G79" s="48">
        <v>7.4</v>
      </c>
      <c r="H79" s="80">
        <f>'Fiber_Ash Inputs'!V52</f>
        <v>35.6</v>
      </c>
      <c r="I79" s="80">
        <f>'Fiber_Ash Inputs'!W52</f>
        <v>64.2</v>
      </c>
      <c r="J79" s="80">
        <f>'Fiber_Ash Inputs'!X52</f>
        <v>7.9</v>
      </c>
      <c r="K79" s="80">
        <f>'Fiber_Ash Inputs'!U52</f>
        <v>3</v>
      </c>
      <c r="L79" s="76">
        <f t="shared" si="15"/>
        <v>24.35079535546226</v>
      </c>
      <c r="M79" s="76">
        <f t="shared" si="16"/>
        <v>94.616843393682686</v>
      </c>
      <c r="N79" s="76">
        <f t="shared" si="17"/>
        <v>22.191011235955056</v>
      </c>
      <c r="O79" s="76">
        <f t="shared" si="18"/>
        <v>22.191011235955056</v>
      </c>
      <c r="P79" s="76">
        <f>(100*((LN((100-O79)-I79)-4.6052)/-'Fiber_Ash Inputs'!$D$17))*'Fiber_Ash Inputs'!$C$17</f>
        <v>7.3869240261072449</v>
      </c>
      <c r="Q79" s="76">
        <f t="shared" si="19"/>
        <v>58.830414718402729</v>
      </c>
      <c r="R79" s="76">
        <f>IF('Fiber_Ash Inputs'!$B$11=30,MILK2024_Imperial!I79,IF('Fiber_Ash Inputs'!$B$11=48,MILK2024_Imperial!I79*0.926))</f>
        <v>64.2</v>
      </c>
      <c r="S79" s="76">
        <f t="shared" si="20"/>
        <v>5.6980000000000004</v>
      </c>
      <c r="T79" s="76">
        <f t="shared" si="21"/>
        <v>1.7094</v>
      </c>
      <c r="U79" s="46">
        <f t="shared" si="22"/>
        <v>2.5</v>
      </c>
      <c r="V79" s="77">
        <f t="shared" si="23"/>
        <v>14.399999999999997</v>
      </c>
      <c r="W79" s="76">
        <f>((G79*0.3+MILK2024_Imperial!$J$22*0.7)/100)*MILK2024_Imperial!AT79</f>
        <v>4.5856445751997779</v>
      </c>
      <c r="X79" s="76">
        <f>((S79*0.3+MILK2024_Imperial!$L$22*0.7)/100)*MILK2024_Imperial!AT79</f>
        <v>2.8283731001045389</v>
      </c>
      <c r="Y79" s="76">
        <f>((T79*0.3+MILK2024_Imperial!$M$22*0.7)/100)*MILK2024_Imperial!AT79</f>
        <v>1.4298208821942155</v>
      </c>
      <c r="Z79" s="76">
        <f t="shared" si="24"/>
        <v>3.4787109692996374</v>
      </c>
      <c r="AA79" s="76">
        <f t="shared" si="25"/>
        <v>1.0436132907898912</v>
      </c>
      <c r="AB79" s="76">
        <f>AA79+MILK2024_Imperial!$U$32</f>
        <v>3.5106375837640469</v>
      </c>
      <c r="AC79" s="76">
        <f>($AC$10*0.2)/(MILK2024_Imperial!AT79)</f>
        <v>2.1952587200950457</v>
      </c>
      <c r="AD79" s="76">
        <f t="shared" si="26"/>
        <v>15.518325182771083</v>
      </c>
      <c r="AE79" s="76">
        <f t="shared" si="27"/>
        <v>3.2733558347128535</v>
      </c>
      <c r="AF79" s="46">
        <f>(AC79*MILK2024_Imperial!AT79)/1000</f>
        <v>6.0000000000000005E-2</v>
      </c>
      <c r="AG79" s="76">
        <f>(AD79*MILK2024_Imperial!AT79)/1000</f>
        <v>0.42414112853447733</v>
      </c>
      <c r="AH79" s="76">
        <f t="shared" si="28"/>
        <v>0.82301469114619663</v>
      </c>
      <c r="AI79" s="50">
        <f t="shared" si="29"/>
        <v>339.84845660228433</v>
      </c>
      <c r="AJ79" s="76">
        <f>(0.0146*AI79)/MILK2024_Imperial!AT79</f>
        <v>0.18154012004763848</v>
      </c>
      <c r="AK79" s="76">
        <f>(0.294*MILK2024_Imperial!AT79-0.347*(U79*0.3+MILK2024_Imperial!$U$17*0.7)+0.0409*(H79*0.3+$F$22*0.7))/MILK2024_Imperial!AT79</f>
        <v>0.28296826901575345</v>
      </c>
      <c r="AL79" s="76">
        <f t="shared" si="30"/>
        <v>2.8088474456494614</v>
      </c>
      <c r="AM79" s="76">
        <f t="shared" si="31"/>
        <v>1.8538393141286447</v>
      </c>
      <c r="AN79" s="76">
        <f t="shared" si="38"/>
        <v>33.538450980075311</v>
      </c>
      <c r="AO79" s="76">
        <f t="shared" si="32"/>
        <v>0.2972717251180757</v>
      </c>
      <c r="AP79" s="78">
        <f t="shared" si="33"/>
        <v>9.9700331806350047</v>
      </c>
      <c r="AQ79" s="78">
        <f t="shared" si="34"/>
        <v>0.8025160835789511</v>
      </c>
      <c r="AR79" s="78">
        <f t="shared" si="39"/>
        <v>13.473017811668925</v>
      </c>
      <c r="AS79" s="78">
        <f t="shared" si="35"/>
        <v>29.640639185671635</v>
      </c>
      <c r="AT79" s="78">
        <f t="shared" si="40"/>
        <v>27.331630413659056</v>
      </c>
      <c r="AU79" s="78">
        <f t="shared" si="36"/>
        <v>60.12958691004993</v>
      </c>
      <c r="AV79" s="78">
        <f t="shared" si="37"/>
        <v>18.038876073014979</v>
      </c>
      <c r="AW79" s="79">
        <f t="shared" si="41"/>
        <v>3286.3066485624522</v>
      </c>
      <c r="AX79" s="79">
        <f t="shared" si="42"/>
        <v>32863.06648562452</v>
      </c>
      <c r="AY79" s="30"/>
      <c r="AZ79" s="1"/>
    </row>
    <row r="80" spans="1:54" x14ac:dyDescent="0.2">
      <c r="A80" s="47" t="s">
        <v>235</v>
      </c>
      <c r="B80" s="47"/>
      <c r="C80" s="48">
        <v>10</v>
      </c>
      <c r="D80" s="48">
        <v>37.1</v>
      </c>
      <c r="E80" s="48">
        <v>76.8</v>
      </c>
      <c r="F80" s="48">
        <v>3.5</v>
      </c>
      <c r="G80" s="48">
        <v>7.4</v>
      </c>
      <c r="H80" s="80">
        <f>'Fiber_Ash Inputs'!V53</f>
        <v>35.6</v>
      </c>
      <c r="I80" s="80">
        <f>'Fiber_Ash Inputs'!W53</f>
        <v>64.2</v>
      </c>
      <c r="J80" s="80">
        <f>'Fiber_Ash Inputs'!X53</f>
        <v>7.9</v>
      </c>
      <c r="K80" s="80">
        <f>'Fiber_Ash Inputs'!U53</f>
        <v>3</v>
      </c>
      <c r="L80" s="76">
        <f t="shared" si="15"/>
        <v>24.35079535546226</v>
      </c>
      <c r="M80" s="76">
        <f t="shared" si="16"/>
        <v>94.616843393682686</v>
      </c>
      <c r="N80" s="76">
        <f t="shared" si="17"/>
        <v>22.191011235955056</v>
      </c>
      <c r="O80" s="76">
        <f t="shared" si="18"/>
        <v>22.191011235955056</v>
      </c>
      <c r="P80" s="76">
        <f>(100*((LN((100-O80)-I80)-4.6052)/-'Fiber_Ash Inputs'!$D$17))*'Fiber_Ash Inputs'!$C$17</f>
        <v>7.3869240261072449</v>
      </c>
      <c r="Q80" s="76">
        <f t="shared" si="19"/>
        <v>58.830414718402729</v>
      </c>
      <c r="R80" s="76">
        <f>IF('Fiber_Ash Inputs'!$B$11=30,MILK2024_Imperial!I80,IF('Fiber_Ash Inputs'!$B$11=48,MILK2024_Imperial!I80*0.926))</f>
        <v>64.2</v>
      </c>
      <c r="S80" s="76">
        <f t="shared" si="20"/>
        <v>5.6980000000000004</v>
      </c>
      <c r="T80" s="76">
        <f t="shared" si="21"/>
        <v>1.7094</v>
      </c>
      <c r="U80" s="46">
        <f t="shared" si="22"/>
        <v>2.5</v>
      </c>
      <c r="V80" s="77">
        <f t="shared" si="23"/>
        <v>14.399999999999997</v>
      </c>
      <c r="W80" s="76">
        <f>((G80*0.3+MILK2024_Imperial!$J$22*0.7)/100)*MILK2024_Imperial!AT80</f>
        <v>4.5856445751997779</v>
      </c>
      <c r="X80" s="76">
        <f>((S80*0.3+MILK2024_Imperial!$L$22*0.7)/100)*MILK2024_Imperial!AT80</f>
        <v>2.8283731001045389</v>
      </c>
      <c r="Y80" s="76">
        <f>((T80*0.3+MILK2024_Imperial!$M$22*0.7)/100)*MILK2024_Imperial!AT80</f>
        <v>1.4298208821942155</v>
      </c>
      <c r="Z80" s="76">
        <f t="shared" si="24"/>
        <v>3.4787109692996374</v>
      </c>
      <c r="AA80" s="76">
        <f t="shared" si="25"/>
        <v>1.0436132907898912</v>
      </c>
      <c r="AB80" s="76">
        <f>AA80+MILK2024_Imperial!$U$32</f>
        <v>3.5106375837640469</v>
      </c>
      <c r="AC80" s="76">
        <f>($AC$10*0.2)/(MILK2024_Imperial!AT80)</f>
        <v>2.1952587200950457</v>
      </c>
      <c r="AD80" s="76">
        <f t="shared" si="26"/>
        <v>15.518325182771083</v>
      </c>
      <c r="AE80" s="76">
        <f t="shared" si="27"/>
        <v>3.2733558347128535</v>
      </c>
      <c r="AF80" s="46">
        <f>(AC80*MILK2024_Imperial!AT80)/1000</f>
        <v>6.0000000000000005E-2</v>
      </c>
      <c r="AG80" s="76">
        <f>(AD80*MILK2024_Imperial!AT80)/1000</f>
        <v>0.42414112853447733</v>
      </c>
      <c r="AH80" s="76">
        <f t="shared" si="28"/>
        <v>0.82301469114619663</v>
      </c>
      <c r="AI80" s="50">
        <f t="shared" si="29"/>
        <v>339.84845660228433</v>
      </c>
      <c r="AJ80" s="76">
        <f>(0.0146*AI80)/MILK2024_Imperial!AT80</f>
        <v>0.18154012004763848</v>
      </c>
      <c r="AK80" s="76">
        <f>(0.294*MILK2024_Imperial!AT80-0.347*(U80*0.3+MILK2024_Imperial!$U$17*0.7)+0.0409*(H80*0.3+$F$22*0.7))/MILK2024_Imperial!AT80</f>
        <v>0.28296826901575345</v>
      </c>
      <c r="AL80" s="76">
        <f t="shared" si="30"/>
        <v>2.8088474456494614</v>
      </c>
      <c r="AM80" s="76">
        <f t="shared" si="31"/>
        <v>1.8538393141286447</v>
      </c>
      <c r="AN80" s="76">
        <f t="shared" si="38"/>
        <v>33.538450980075311</v>
      </c>
      <c r="AO80" s="76">
        <f t="shared" si="32"/>
        <v>0.2972717251180757</v>
      </c>
      <c r="AP80" s="78">
        <f t="shared" si="33"/>
        <v>9.9700331806350047</v>
      </c>
      <c r="AQ80" s="78">
        <f t="shared" si="34"/>
        <v>0.8025160835789511</v>
      </c>
      <c r="AR80" s="78">
        <f t="shared" si="39"/>
        <v>13.473017811668925</v>
      </c>
      <c r="AS80" s="78">
        <f t="shared" si="35"/>
        <v>29.640639185671635</v>
      </c>
      <c r="AT80" s="78">
        <f t="shared" si="40"/>
        <v>27.331630413659056</v>
      </c>
      <c r="AU80" s="78">
        <f t="shared" si="36"/>
        <v>60.12958691004993</v>
      </c>
      <c r="AV80" s="78">
        <f t="shared" si="37"/>
        <v>18.038876073014979</v>
      </c>
      <c r="AW80" s="79">
        <f t="shared" si="41"/>
        <v>3286.3066485624522</v>
      </c>
      <c r="AX80" s="79">
        <f t="shared" si="42"/>
        <v>32863.06648562452</v>
      </c>
      <c r="AY80" s="30"/>
      <c r="AZ80" s="1"/>
    </row>
    <row r="81" spans="1:52" x14ac:dyDescent="0.2">
      <c r="A81" s="47" t="s">
        <v>236</v>
      </c>
      <c r="B81" s="47"/>
      <c r="C81" s="48">
        <v>10</v>
      </c>
      <c r="D81" s="48">
        <v>37.1</v>
      </c>
      <c r="E81" s="48">
        <v>76.8</v>
      </c>
      <c r="F81" s="48">
        <v>3.5</v>
      </c>
      <c r="G81" s="48">
        <v>7.4</v>
      </c>
      <c r="H81" s="80">
        <f>'Fiber_Ash Inputs'!V54</f>
        <v>35.6</v>
      </c>
      <c r="I81" s="80">
        <f>'Fiber_Ash Inputs'!W54</f>
        <v>64.2</v>
      </c>
      <c r="J81" s="80">
        <f>'Fiber_Ash Inputs'!X54</f>
        <v>7.9</v>
      </c>
      <c r="K81" s="80">
        <f>'Fiber_Ash Inputs'!U54</f>
        <v>3</v>
      </c>
      <c r="L81" s="76">
        <f t="shared" si="15"/>
        <v>24.35079535546226</v>
      </c>
      <c r="M81" s="76">
        <f t="shared" si="16"/>
        <v>94.616843393682686</v>
      </c>
      <c r="N81" s="76">
        <f t="shared" si="17"/>
        <v>22.191011235955056</v>
      </c>
      <c r="O81" s="76">
        <f t="shared" si="18"/>
        <v>22.191011235955056</v>
      </c>
      <c r="P81" s="76">
        <f>(100*((LN((100-O81)-I81)-4.6052)/-'Fiber_Ash Inputs'!$D$17))*'Fiber_Ash Inputs'!$C$17</f>
        <v>7.3869240261072449</v>
      </c>
      <c r="Q81" s="76">
        <f t="shared" si="19"/>
        <v>58.830414718402729</v>
      </c>
      <c r="R81" s="76">
        <f>IF('Fiber_Ash Inputs'!$B$11=30,MILK2024_Imperial!I81,IF('Fiber_Ash Inputs'!$B$11=48,MILK2024_Imperial!I81*0.926))</f>
        <v>64.2</v>
      </c>
      <c r="S81" s="76">
        <f t="shared" si="20"/>
        <v>5.6980000000000004</v>
      </c>
      <c r="T81" s="76">
        <f t="shared" si="21"/>
        <v>1.7094</v>
      </c>
      <c r="U81" s="46">
        <f t="shared" si="22"/>
        <v>2.5</v>
      </c>
      <c r="V81" s="77">
        <f t="shared" si="23"/>
        <v>14.399999999999997</v>
      </c>
      <c r="W81" s="76">
        <f>((G81*0.3+MILK2024_Imperial!$J$22*0.7)/100)*MILK2024_Imperial!AT81</f>
        <v>4.5856445751997779</v>
      </c>
      <c r="X81" s="76">
        <f>((S81*0.3+MILK2024_Imperial!$L$22*0.7)/100)*MILK2024_Imperial!AT81</f>
        <v>2.8283731001045389</v>
      </c>
      <c r="Y81" s="76">
        <f>((T81*0.3+MILK2024_Imperial!$M$22*0.7)/100)*MILK2024_Imperial!AT81</f>
        <v>1.4298208821942155</v>
      </c>
      <c r="Z81" s="76">
        <f t="shared" si="24"/>
        <v>3.4787109692996374</v>
      </c>
      <c r="AA81" s="76">
        <f t="shared" si="25"/>
        <v>1.0436132907898912</v>
      </c>
      <c r="AB81" s="76">
        <f>AA81+MILK2024_Imperial!$U$32</f>
        <v>3.5106375837640469</v>
      </c>
      <c r="AC81" s="76">
        <f>($AC$10*0.2)/(MILK2024_Imperial!AT81)</f>
        <v>2.1952587200950457</v>
      </c>
      <c r="AD81" s="76">
        <f t="shared" si="26"/>
        <v>15.518325182771083</v>
      </c>
      <c r="AE81" s="76">
        <f t="shared" si="27"/>
        <v>3.2733558347128535</v>
      </c>
      <c r="AF81" s="46">
        <f>(AC81*MILK2024_Imperial!AT81)/1000</f>
        <v>6.0000000000000005E-2</v>
      </c>
      <c r="AG81" s="76">
        <f>(AD81*MILK2024_Imperial!AT81)/1000</f>
        <v>0.42414112853447733</v>
      </c>
      <c r="AH81" s="76">
        <f t="shared" si="28"/>
        <v>0.82301469114619663</v>
      </c>
      <c r="AI81" s="50">
        <f t="shared" si="29"/>
        <v>339.84845660228433</v>
      </c>
      <c r="AJ81" s="76">
        <f>(0.0146*AI81)/MILK2024_Imperial!AT81</f>
        <v>0.18154012004763848</v>
      </c>
      <c r="AK81" s="76">
        <f>(0.294*MILK2024_Imperial!AT81-0.347*(U81*0.3+MILK2024_Imperial!$U$17*0.7)+0.0409*(H81*0.3+$F$22*0.7))/MILK2024_Imperial!AT81</f>
        <v>0.28296826901575345</v>
      </c>
      <c r="AL81" s="76">
        <f t="shared" si="30"/>
        <v>2.8088474456494614</v>
      </c>
      <c r="AM81" s="76">
        <f t="shared" si="31"/>
        <v>1.8538393141286447</v>
      </c>
      <c r="AN81" s="76">
        <f t="shared" si="38"/>
        <v>33.538450980075311</v>
      </c>
      <c r="AO81" s="76">
        <f t="shared" si="32"/>
        <v>0.2972717251180757</v>
      </c>
      <c r="AP81" s="78">
        <f t="shared" si="33"/>
        <v>9.9700331806350047</v>
      </c>
      <c r="AQ81" s="78">
        <f t="shared" si="34"/>
        <v>0.8025160835789511</v>
      </c>
      <c r="AR81" s="78">
        <f t="shared" si="39"/>
        <v>13.473017811668925</v>
      </c>
      <c r="AS81" s="78">
        <f t="shared" si="35"/>
        <v>29.640639185671635</v>
      </c>
      <c r="AT81" s="78">
        <f t="shared" si="40"/>
        <v>27.331630413659056</v>
      </c>
      <c r="AU81" s="78">
        <f t="shared" si="36"/>
        <v>60.12958691004993</v>
      </c>
      <c r="AV81" s="78">
        <f t="shared" si="37"/>
        <v>18.038876073014979</v>
      </c>
      <c r="AW81" s="79">
        <f t="shared" si="41"/>
        <v>3286.3066485624522</v>
      </c>
      <c r="AX81" s="79">
        <f t="shared" si="42"/>
        <v>32863.06648562452</v>
      </c>
      <c r="AY81" s="30"/>
      <c r="AZ81" s="1"/>
    </row>
    <row r="82" spans="1:52" x14ac:dyDescent="0.2">
      <c r="A82" s="47" t="s">
        <v>237</v>
      </c>
      <c r="B82" s="47"/>
      <c r="C82" s="48">
        <v>10</v>
      </c>
      <c r="D82" s="48">
        <v>37.1</v>
      </c>
      <c r="E82" s="48">
        <v>76.8</v>
      </c>
      <c r="F82" s="48">
        <v>3.5</v>
      </c>
      <c r="G82" s="48">
        <v>7.4</v>
      </c>
      <c r="H82" s="80">
        <f>'Fiber_Ash Inputs'!V55</f>
        <v>35.6</v>
      </c>
      <c r="I82" s="80">
        <f>'Fiber_Ash Inputs'!W55</f>
        <v>64.2</v>
      </c>
      <c r="J82" s="80">
        <f>'Fiber_Ash Inputs'!X55</f>
        <v>7.9</v>
      </c>
      <c r="K82" s="80">
        <f>'Fiber_Ash Inputs'!U55</f>
        <v>3</v>
      </c>
      <c r="L82" s="76">
        <f t="shared" si="15"/>
        <v>24.35079535546226</v>
      </c>
      <c r="M82" s="76">
        <f t="shared" si="16"/>
        <v>94.616843393682686</v>
      </c>
      <c r="N82" s="76">
        <f t="shared" si="17"/>
        <v>22.191011235955056</v>
      </c>
      <c r="O82" s="76">
        <f t="shared" si="18"/>
        <v>22.191011235955056</v>
      </c>
      <c r="P82" s="76">
        <f>(100*((LN((100-O82)-I82)-4.6052)/-'Fiber_Ash Inputs'!$D$17))*'Fiber_Ash Inputs'!$C$17</f>
        <v>7.3869240261072449</v>
      </c>
      <c r="Q82" s="76">
        <f t="shared" si="19"/>
        <v>58.830414718402729</v>
      </c>
      <c r="R82" s="76">
        <f>IF('Fiber_Ash Inputs'!$B$11=30,MILK2024_Imperial!I82,IF('Fiber_Ash Inputs'!$B$11=48,MILK2024_Imperial!I82*0.926))</f>
        <v>64.2</v>
      </c>
      <c r="S82" s="76">
        <f t="shared" si="20"/>
        <v>5.6980000000000004</v>
      </c>
      <c r="T82" s="76">
        <f t="shared" si="21"/>
        <v>1.7094</v>
      </c>
      <c r="U82" s="46">
        <f t="shared" si="22"/>
        <v>2.5</v>
      </c>
      <c r="V82" s="77">
        <f t="shared" si="23"/>
        <v>14.399999999999997</v>
      </c>
      <c r="W82" s="76">
        <f>((G82*0.3+MILK2024_Imperial!$J$22*0.7)/100)*MILK2024_Imperial!AT82</f>
        <v>4.5856445751997779</v>
      </c>
      <c r="X82" s="76">
        <f>((S82*0.3+MILK2024_Imperial!$L$22*0.7)/100)*MILK2024_Imperial!AT82</f>
        <v>2.8283731001045389</v>
      </c>
      <c r="Y82" s="76">
        <f>((T82*0.3+MILK2024_Imperial!$M$22*0.7)/100)*MILK2024_Imperial!AT82</f>
        <v>1.4298208821942155</v>
      </c>
      <c r="Z82" s="76">
        <f t="shared" si="24"/>
        <v>3.4787109692996374</v>
      </c>
      <c r="AA82" s="76">
        <f t="shared" si="25"/>
        <v>1.0436132907898912</v>
      </c>
      <c r="AB82" s="76">
        <f>AA82+MILK2024_Imperial!$U$32</f>
        <v>3.5106375837640469</v>
      </c>
      <c r="AC82" s="76">
        <f>($AC$10*0.2)/(MILK2024_Imperial!AT82)</f>
        <v>2.1952587200950457</v>
      </c>
      <c r="AD82" s="76">
        <f t="shared" si="26"/>
        <v>15.518325182771083</v>
      </c>
      <c r="AE82" s="76">
        <f t="shared" si="27"/>
        <v>3.2733558347128535</v>
      </c>
      <c r="AF82" s="46">
        <f>(AC82*MILK2024_Imperial!AT82)/1000</f>
        <v>6.0000000000000005E-2</v>
      </c>
      <c r="AG82" s="76">
        <f>(AD82*MILK2024_Imperial!AT82)/1000</f>
        <v>0.42414112853447733</v>
      </c>
      <c r="AH82" s="76">
        <f t="shared" si="28"/>
        <v>0.82301469114619663</v>
      </c>
      <c r="AI82" s="50">
        <f t="shared" si="29"/>
        <v>339.84845660228433</v>
      </c>
      <c r="AJ82" s="76">
        <f>(0.0146*AI82)/MILK2024_Imperial!AT82</f>
        <v>0.18154012004763848</v>
      </c>
      <c r="AK82" s="76">
        <f>(0.294*MILK2024_Imperial!AT82-0.347*(U82*0.3+MILK2024_Imperial!$U$17*0.7)+0.0409*(H82*0.3+$F$22*0.7))/MILK2024_Imperial!AT82</f>
        <v>0.28296826901575345</v>
      </c>
      <c r="AL82" s="76">
        <f t="shared" si="30"/>
        <v>2.8088474456494614</v>
      </c>
      <c r="AM82" s="76">
        <f t="shared" si="31"/>
        <v>1.8538393141286447</v>
      </c>
      <c r="AN82" s="76">
        <f t="shared" si="38"/>
        <v>33.538450980075311</v>
      </c>
      <c r="AO82" s="76">
        <f t="shared" si="32"/>
        <v>0.2972717251180757</v>
      </c>
      <c r="AP82" s="78">
        <f t="shared" si="33"/>
        <v>9.9700331806350047</v>
      </c>
      <c r="AQ82" s="78">
        <f t="shared" si="34"/>
        <v>0.8025160835789511</v>
      </c>
      <c r="AR82" s="78">
        <f t="shared" si="39"/>
        <v>13.473017811668925</v>
      </c>
      <c r="AS82" s="78">
        <f t="shared" si="35"/>
        <v>29.640639185671635</v>
      </c>
      <c r="AT82" s="78">
        <f t="shared" si="40"/>
        <v>27.331630413659056</v>
      </c>
      <c r="AU82" s="78">
        <f t="shared" si="36"/>
        <v>60.12958691004993</v>
      </c>
      <c r="AV82" s="78">
        <f t="shared" si="37"/>
        <v>18.038876073014979</v>
      </c>
      <c r="AW82" s="79">
        <f t="shared" si="41"/>
        <v>3286.3066485624522</v>
      </c>
      <c r="AX82" s="79">
        <f t="shared" si="42"/>
        <v>32863.06648562452</v>
      </c>
      <c r="AY82" s="30"/>
      <c r="AZ82" s="1"/>
    </row>
    <row r="83" spans="1:52" x14ac:dyDescent="0.2">
      <c r="A83" s="47" t="s">
        <v>238</v>
      </c>
      <c r="B83" s="47"/>
      <c r="C83" s="48">
        <v>10</v>
      </c>
      <c r="D83" s="48">
        <v>37.1</v>
      </c>
      <c r="E83" s="48">
        <v>76.8</v>
      </c>
      <c r="F83" s="48">
        <v>3.5</v>
      </c>
      <c r="G83" s="48">
        <v>7.4</v>
      </c>
      <c r="H83" s="80">
        <f>'Fiber_Ash Inputs'!V56</f>
        <v>35.6</v>
      </c>
      <c r="I83" s="80">
        <f>'Fiber_Ash Inputs'!W56</f>
        <v>64.2</v>
      </c>
      <c r="J83" s="80">
        <f>'Fiber_Ash Inputs'!X56</f>
        <v>7.9</v>
      </c>
      <c r="K83" s="80">
        <f>'Fiber_Ash Inputs'!U56</f>
        <v>3</v>
      </c>
      <c r="L83" s="76">
        <f t="shared" si="15"/>
        <v>24.35079535546226</v>
      </c>
      <c r="M83" s="76">
        <f t="shared" si="16"/>
        <v>94.616843393682686</v>
      </c>
      <c r="N83" s="76">
        <f t="shared" si="17"/>
        <v>22.191011235955056</v>
      </c>
      <c r="O83" s="76">
        <f t="shared" si="18"/>
        <v>22.191011235955056</v>
      </c>
      <c r="P83" s="76">
        <f>(100*((LN((100-O83)-I83)-4.6052)/-'Fiber_Ash Inputs'!$D$17))*'Fiber_Ash Inputs'!$C$17</f>
        <v>7.3869240261072449</v>
      </c>
      <c r="Q83" s="76">
        <f t="shared" si="19"/>
        <v>58.830414718402729</v>
      </c>
      <c r="R83" s="76">
        <f>IF('Fiber_Ash Inputs'!$B$11=30,MILK2024_Imperial!I83,IF('Fiber_Ash Inputs'!$B$11=48,MILK2024_Imperial!I83*0.926))</f>
        <v>64.2</v>
      </c>
      <c r="S83" s="76">
        <f t="shared" si="20"/>
        <v>5.6980000000000004</v>
      </c>
      <c r="T83" s="76">
        <f t="shared" si="21"/>
        <v>1.7094</v>
      </c>
      <c r="U83" s="46">
        <f t="shared" si="22"/>
        <v>2.5</v>
      </c>
      <c r="V83" s="77">
        <f t="shared" si="23"/>
        <v>14.399999999999997</v>
      </c>
      <c r="W83" s="76">
        <f>((G83*0.3+MILK2024_Imperial!$J$22*0.7)/100)*MILK2024_Imperial!AT83</f>
        <v>4.5856445751997779</v>
      </c>
      <c r="X83" s="76">
        <f>((S83*0.3+MILK2024_Imperial!$L$22*0.7)/100)*MILK2024_Imperial!AT83</f>
        <v>2.8283731001045389</v>
      </c>
      <c r="Y83" s="76">
        <f>((T83*0.3+MILK2024_Imperial!$M$22*0.7)/100)*MILK2024_Imperial!AT83</f>
        <v>1.4298208821942155</v>
      </c>
      <c r="Z83" s="76">
        <f t="shared" si="24"/>
        <v>3.4787109692996374</v>
      </c>
      <c r="AA83" s="76">
        <f t="shared" si="25"/>
        <v>1.0436132907898912</v>
      </c>
      <c r="AB83" s="76">
        <f>AA83+MILK2024_Imperial!$U$32</f>
        <v>3.5106375837640469</v>
      </c>
      <c r="AC83" s="76">
        <f>($AC$10*0.2)/(MILK2024_Imperial!AT83)</f>
        <v>2.1952587200950457</v>
      </c>
      <c r="AD83" s="76">
        <f t="shared" si="26"/>
        <v>15.518325182771083</v>
      </c>
      <c r="AE83" s="76">
        <f t="shared" si="27"/>
        <v>3.2733558347128535</v>
      </c>
      <c r="AF83" s="46">
        <f>(AC83*MILK2024_Imperial!AT83)/1000</f>
        <v>6.0000000000000005E-2</v>
      </c>
      <c r="AG83" s="76">
        <f>(AD83*MILK2024_Imperial!AT83)/1000</f>
        <v>0.42414112853447733</v>
      </c>
      <c r="AH83" s="76">
        <f t="shared" si="28"/>
        <v>0.82301469114619663</v>
      </c>
      <c r="AI83" s="50">
        <f t="shared" si="29"/>
        <v>339.84845660228433</v>
      </c>
      <c r="AJ83" s="76">
        <f>(0.0146*AI83)/MILK2024_Imperial!AT83</f>
        <v>0.18154012004763848</v>
      </c>
      <c r="AK83" s="76">
        <f>(0.294*MILK2024_Imperial!AT83-0.347*(U83*0.3+MILK2024_Imperial!$U$17*0.7)+0.0409*(H83*0.3+$F$22*0.7))/MILK2024_Imperial!AT83</f>
        <v>0.28296826901575345</v>
      </c>
      <c r="AL83" s="76">
        <f t="shared" si="30"/>
        <v>2.8088474456494614</v>
      </c>
      <c r="AM83" s="76">
        <f t="shared" si="31"/>
        <v>1.8538393141286447</v>
      </c>
      <c r="AN83" s="76">
        <f t="shared" si="38"/>
        <v>33.538450980075311</v>
      </c>
      <c r="AO83" s="76">
        <f t="shared" si="32"/>
        <v>0.2972717251180757</v>
      </c>
      <c r="AP83" s="78">
        <f t="shared" si="33"/>
        <v>9.9700331806350047</v>
      </c>
      <c r="AQ83" s="78">
        <f t="shared" si="34"/>
        <v>0.8025160835789511</v>
      </c>
      <c r="AR83" s="78">
        <f t="shared" si="39"/>
        <v>13.473017811668925</v>
      </c>
      <c r="AS83" s="78">
        <f t="shared" si="35"/>
        <v>29.640639185671635</v>
      </c>
      <c r="AT83" s="78">
        <f t="shared" si="40"/>
        <v>27.331630413659056</v>
      </c>
      <c r="AU83" s="78">
        <f t="shared" si="36"/>
        <v>60.12958691004993</v>
      </c>
      <c r="AV83" s="78">
        <f t="shared" si="37"/>
        <v>18.038876073014979</v>
      </c>
      <c r="AW83" s="79">
        <f t="shared" si="41"/>
        <v>3286.3066485624522</v>
      </c>
      <c r="AX83" s="79">
        <f t="shared" si="42"/>
        <v>32863.06648562452</v>
      </c>
      <c r="AY83" s="30"/>
      <c r="AZ83" s="1"/>
    </row>
    <row r="84" spans="1:52" x14ac:dyDescent="0.2">
      <c r="A84" s="47" t="s">
        <v>239</v>
      </c>
      <c r="B84" s="47"/>
      <c r="C84" s="48">
        <v>10</v>
      </c>
      <c r="D84" s="48">
        <v>37.1</v>
      </c>
      <c r="E84" s="48">
        <v>76.8</v>
      </c>
      <c r="F84" s="48">
        <v>3.5</v>
      </c>
      <c r="G84" s="48">
        <v>7.4</v>
      </c>
      <c r="H84" s="80">
        <f>'Fiber_Ash Inputs'!V57</f>
        <v>35.6</v>
      </c>
      <c r="I84" s="80">
        <f>'Fiber_Ash Inputs'!W57</f>
        <v>64.2</v>
      </c>
      <c r="J84" s="80">
        <f>'Fiber_Ash Inputs'!X57</f>
        <v>7.9</v>
      </c>
      <c r="K84" s="80">
        <f>'Fiber_Ash Inputs'!U57</f>
        <v>3</v>
      </c>
      <c r="L84" s="76">
        <f t="shared" si="15"/>
        <v>24.35079535546226</v>
      </c>
      <c r="M84" s="76">
        <f t="shared" si="16"/>
        <v>94.616843393682686</v>
      </c>
      <c r="N84" s="76">
        <f t="shared" si="17"/>
        <v>22.191011235955056</v>
      </c>
      <c r="O84" s="76">
        <f t="shared" si="18"/>
        <v>22.191011235955056</v>
      </c>
      <c r="P84" s="76">
        <f>(100*((LN((100-O84)-I84)-4.6052)/-'Fiber_Ash Inputs'!$D$17))*'Fiber_Ash Inputs'!$C$17</f>
        <v>7.3869240261072449</v>
      </c>
      <c r="Q84" s="76">
        <f t="shared" si="19"/>
        <v>58.830414718402729</v>
      </c>
      <c r="R84" s="76">
        <f>IF('Fiber_Ash Inputs'!$B$11=30,MILK2024_Imperial!I84,IF('Fiber_Ash Inputs'!$B$11=48,MILK2024_Imperial!I84*0.926))</f>
        <v>64.2</v>
      </c>
      <c r="S84" s="76">
        <f t="shared" si="20"/>
        <v>5.6980000000000004</v>
      </c>
      <c r="T84" s="76">
        <f t="shared" si="21"/>
        <v>1.7094</v>
      </c>
      <c r="U84" s="46">
        <f t="shared" si="22"/>
        <v>2.5</v>
      </c>
      <c r="V84" s="77">
        <f t="shared" si="23"/>
        <v>14.399999999999997</v>
      </c>
      <c r="W84" s="76">
        <f>((G84*0.3+MILK2024_Imperial!$J$22*0.7)/100)*MILK2024_Imperial!AT84</f>
        <v>4.5856445751997779</v>
      </c>
      <c r="X84" s="76">
        <f>((S84*0.3+MILK2024_Imperial!$L$22*0.7)/100)*MILK2024_Imperial!AT84</f>
        <v>2.8283731001045389</v>
      </c>
      <c r="Y84" s="76">
        <f>((T84*0.3+MILK2024_Imperial!$M$22*0.7)/100)*MILK2024_Imperial!AT84</f>
        <v>1.4298208821942155</v>
      </c>
      <c r="Z84" s="76">
        <f t="shared" si="24"/>
        <v>3.4787109692996374</v>
      </c>
      <c r="AA84" s="76">
        <f t="shared" si="25"/>
        <v>1.0436132907898912</v>
      </c>
      <c r="AB84" s="76">
        <f>AA84+MILK2024_Imperial!$U$32</f>
        <v>3.5106375837640469</v>
      </c>
      <c r="AC84" s="76">
        <f>($AC$10*0.2)/(MILK2024_Imperial!AT84)</f>
        <v>2.1952587200950457</v>
      </c>
      <c r="AD84" s="76">
        <f t="shared" si="26"/>
        <v>15.518325182771083</v>
      </c>
      <c r="AE84" s="76">
        <f t="shared" si="27"/>
        <v>3.2733558347128535</v>
      </c>
      <c r="AF84" s="46">
        <f>(AC84*MILK2024_Imperial!AT84)/1000</f>
        <v>6.0000000000000005E-2</v>
      </c>
      <c r="AG84" s="76">
        <f>(AD84*MILK2024_Imperial!AT84)/1000</f>
        <v>0.42414112853447733</v>
      </c>
      <c r="AH84" s="76">
        <f t="shared" si="28"/>
        <v>0.82301469114619663</v>
      </c>
      <c r="AI84" s="50">
        <f t="shared" si="29"/>
        <v>339.84845660228433</v>
      </c>
      <c r="AJ84" s="76">
        <f>(0.0146*AI84)/MILK2024_Imperial!AT84</f>
        <v>0.18154012004763848</v>
      </c>
      <c r="AK84" s="76">
        <f>(0.294*MILK2024_Imperial!AT84-0.347*(U84*0.3+MILK2024_Imperial!$U$17*0.7)+0.0409*(H84*0.3+$F$22*0.7))/MILK2024_Imperial!AT84</f>
        <v>0.28296826901575345</v>
      </c>
      <c r="AL84" s="76">
        <f t="shared" si="30"/>
        <v>2.8088474456494614</v>
      </c>
      <c r="AM84" s="76">
        <f t="shared" si="31"/>
        <v>1.8538393141286447</v>
      </c>
      <c r="AN84" s="76">
        <f t="shared" si="38"/>
        <v>33.538450980075311</v>
      </c>
      <c r="AO84" s="76">
        <f t="shared" si="32"/>
        <v>0.2972717251180757</v>
      </c>
      <c r="AP84" s="78">
        <f t="shared" si="33"/>
        <v>9.9700331806350047</v>
      </c>
      <c r="AQ84" s="78">
        <f t="shared" si="34"/>
        <v>0.8025160835789511</v>
      </c>
      <c r="AR84" s="78">
        <f t="shared" si="39"/>
        <v>13.473017811668925</v>
      </c>
      <c r="AS84" s="78">
        <f t="shared" si="35"/>
        <v>29.640639185671635</v>
      </c>
      <c r="AT84" s="78">
        <f t="shared" si="40"/>
        <v>27.331630413659056</v>
      </c>
      <c r="AU84" s="78">
        <f t="shared" si="36"/>
        <v>60.12958691004993</v>
      </c>
      <c r="AV84" s="78">
        <f t="shared" si="37"/>
        <v>18.038876073014979</v>
      </c>
      <c r="AW84" s="79">
        <f t="shared" si="41"/>
        <v>3286.3066485624522</v>
      </c>
      <c r="AX84" s="79">
        <f t="shared" si="42"/>
        <v>32863.06648562452</v>
      </c>
      <c r="AY84" s="30"/>
      <c r="AZ84" s="1"/>
    </row>
    <row r="85" spans="1:52" x14ac:dyDescent="0.2">
      <c r="A85" s="47" t="s">
        <v>240</v>
      </c>
      <c r="B85" s="47"/>
      <c r="C85" s="48">
        <v>10</v>
      </c>
      <c r="D85" s="48">
        <v>37.1</v>
      </c>
      <c r="E85" s="48">
        <v>76.8</v>
      </c>
      <c r="F85" s="48">
        <v>3.5</v>
      </c>
      <c r="G85" s="48">
        <v>7.4</v>
      </c>
      <c r="H85" s="80">
        <f>'Fiber_Ash Inputs'!V58</f>
        <v>35.6</v>
      </c>
      <c r="I85" s="80">
        <f>'Fiber_Ash Inputs'!W58</f>
        <v>64.2</v>
      </c>
      <c r="J85" s="80">
        <f>'Fiber_Ash Inputs'!X58</f>
        <v>7.9</v>
      </c>
      <c r="K85" s="80">
        <f>'Fiber_Ash Inputs'!U58</f>
        <v>3</v>
      </c>
      <c r="L85" s="76">
        <f t="shared" si="15"/>
        <v>24.35079535546226</v>
      </c>
      <c r="M85" s="76">
        <f t="shared" si="16"/>
        <v>94.616843393682686</v>
      </c>
      <c r="N85" s="76">
        <f t="shared" si="17"/>
        <v>22.191011235955056</v>
      </c>
      <c r="O85" s="76">
        <f t="shared" si="18"/>
        <v>22.191011235955056</v>
      </c>
      <c r="P85" s="76">
        <f>(100*((LN((100-O85)-I85)-4.6052)/-'Fiber_Ash Inputs'!$D$17))*'Fiber_Ash Inputs'!$C$17</f>
        <v>7.3869240261072449</v>
      </c>
      <c r="Q85" s="76">
        <f t="shared" si="19"/>
        <v>58.830414718402729</v>
      </c>
      <c r="R85" s="76">
        <f>IF('Fiber_Ash Inputs'!$B$11=30,MILK2024_Imperial!I85,IF('Fiber_Ash Inputs'!$B$11=48,MILK2024_Imperial!I85*0.926))</f>
        <v>64.2</v>
      </c>
      <c r="S85" s="76">
        <f t="shared" si="20"/>
        <v>5.6980000000000004</v>
      </c>
      <c r="T85" s="76">
        <f t="shared" si="21"/>
        <v>1.7094</v>
      </c>
      <c r="U85" s="46">
        <f t="shared" si="22"/>
        <v>2.5</v>
      </c>
      <c r="V85" s="77">
        <f t="shared" si="23"/>
        <v>14.399999999999997</v>
      </c>
      <c r="W85" s="76">
        <f>((G85*0.3+MILK2024_Imperial!$J$22*0.7)/100)*MILK2024_Imperial!AT85</f>
        <v>4.5856445751997779</v>
      </c>
      <c r="X85" s="76">
        <f>((S85*0.3+MILK2024_Imperial!$L$22*0.7)/100)*MILK2024_Imperial!AT85</f>
        <v>2.8283731001045389</v>
      </c>
      <c r="Y85" s="76">
        <f>((T85*0.3+MILK2024_Imperial!$M$22*0.7)/100)*MILK2024_Imperial!AT85</f>
        <v>1.4298208821942155</v>
      </c>
      <c r="Z85" s="76">
        <f t="shared" si="24"/>
        <v>3.4787109692996374</v>
      </c>
      <c r="AA85" s="76">
        <f t="shared" si="25"/>
        <v>1.0436132907898912</v>
      </c>
      <c r="AB85" s="76">
        <f>AA85+MILK2024_Imperial!$U$32</f>
        <v>3.5106375837640469</v>
      </c>
      <c r="AC85" s="76">
        <f>($AC$10*0.2)/(MILK2024_Imperial!AT85)</f>
        <v>2.1952587200950457</v>
      </c>
      <c r="AD85" s="76">
        <f t="shared" si="26"/>
        <v>15.518325182771083</v>
      </c>
      <c r="AE85" s="76">
        <f t="shared" si="27"/>
        <v>3.2733558347128535</v>
      </c>
      <c r="AF85" s="46">
        <f>(AC85*MILK2024_Imperial!AT85)/1000</f>
        <v>6.0000000000000005E-2</v>
      </c>
      <c r="AG85" s="76">
        <f>(AD85*MILK2024_Imperial!AT85)/1000</f>
        <v>0.42414112853447733</v>
      </c>
      <c r="AH85" s="76">
        <f t="shared" si="28"/>
        <v>0.82301469114619663</v>
      </c>
      <c r="AI85" s="50">
        <f t="shared" si="29"/>
        <v>339.84845660228433</v>
      </c>
      <c r="AJ85" s="76">
        <f>(0.0146*AI85)/MILK2024_Imperial!AT85</f>
        <v>0.18154012004763848</v>
      </c>
      <c r="AK85" s="76">
        <f>(0.294*MILK2024_Imperial!AT85-0.347*(U85*0.3+MILK2024_Imperial!$U$17*0.7)+0.0409*(H85*0.3+$F$22*0.7))/MILK2024_Imperial!AT85</f>
        <v>0.28296826901575345</v>
      </c>
      <c r="AL85" s="76">
        <f t="shared" si="30"/>
        <v>2.8088474456494614</v>
      </c>
      <c r="AM85" s="76">
        <f t="shared" si="31"/>
        <v>1.8538393141286447</v>
      </c>
      <c r="AN85" s="76">
        <f t="shared" si="38"/>
        <v>33.538450980075311</v>
      </c>
      <c r="AO85" s="76">
        <f t="shared" si="32"/>
        <v>0.2972717251180757</v>
      </c>
      <c r="AP85" s="78">
        <f t="shared" si="33"/>
        <v>9.9700331806350047</v>
      </c>
      <c r="AQ85" s="78">
        <f t="shared" si="34"/>
        <v>0.8025160835789511</v>
      </c>
      <c r="AR85" s="78">
        <f t="shared" si="39"/>
        <v>13.473017811668925</v>
      </c>
      <c r="AS85" s="78">
        <f t="shared" si="35"/>
        <v>29.640639185671635</v>
      </c>
      <c r="AT85" s="78">
        <f t="shared" si="40"/>
        <v>27.331630413659056</v>
      </c>
      <c r="AU85" s="78">
        <f t="shared" si="36"/>
        <v>60.12958691004993</v>
      </c>
      <c r="AV85" s="78">
        <f t="shared" si="37"/>
        <v>18.038876073014979</v>
      </c>
      <c r="AW85" s="79">
        <f t="shared" si="41"/>
        <v>3286.3066485624522</v>
      </c>
      <c r="AX85" s="79">
        <f t="shared" si="42"/>
        <v>32863.06648562452</v>
      </c>
      <c r="AY85" s="30"/>
      <c r="AZ85" s="1"/>
    </row>
    <row r="86" spans="1:52" x14ac:dyDescent="0.2">
      <c r="A86" s="47" t="s">
        <v>241</v>
      </c>
      <c r="B86" s="47"/>
      <c r="C86" s="48">
        <v>10</v>
      </c>
      <c r="D86" s="48">
        <v>37.1</v>
      </c>
      <c r="E86" s="48">
        <v>76.8</v>
      </c>
      <c r="F86" s="48">
        <v>3.5</v>
      </c>
      <c r="G86" s="48">
        <v>7.4</v>
      </c>
      <c r="H86" s="80">
        <f>'Fiber_Ash Inputs'!V59</f>
        <v>35.6</v>
      </c>
      <c r="I86" s="80">
        <f>'Fiber_Ash Inputs'!W59</f>
        <v>64.2</v>
      </c>
      <c r="J86" s="80">
        <f>'Fiber_Ash Inputs'!X59</f>
        <v>7.9</v>
      </c>
      <c r="K86" s="80">
        <f>'Fiber_Ash Inputs'!U59</f>
        <v>3</v>
      </c>
      <c r="L86" s="76">
        <f t="shared" si="15"/>
        <v>24.35079535546226</v>
      </c>
      <c r="M86" s="76">
        <f t="shared" si="16"/>
        <v>94.616843393682686</v>
      </c>
      <c r="N86" s="76">
        <f t="shared" si="17"/>
        <v>22.191011235955056</v>
      </c>
      <c r="O86" s="76">
        <f t="shared" si="18"/>
        <v>22.191011235955056</v>
      </c>
      <c r="P86" s="76">
        <f>(100*((LN((100-O86)-I86)-4.6052)/-'Fiber_Ash Inputs'!$D$17))*'Fiber_Ash Inputs'!$C$17</f>
        <v>7.3869240261072449</v>
      </c>
      <c r="Q86" s="76">
        <f t="shared" si="19"/>
        <v>58.830414718402729</v>
      </c>
      <c r="R86" s="76">
        <f>IF('Fiber_Ash Inputs'!$B$11=30,MILK2024_Imperial!I86,IF('Fiber_Ash Inputs'!$B$11=48,MILK2024_Imperial!I86*0.926))</f>
        <v>64.2</v>
      </c>
      <c r="S86" s="76">
        <f t="shared" si="20"/>
        <v>5.6980000000000004</v>
      </c>
      <c r="T86" s="76">
        <f t="shared" si="21"/>
        <v>1.7094</v>
      </c>
      <c r="U86" s="46">
        <f t="shared" si="22"/>
        <v>2.5</v>
      </c>
      <c r="V86" s="77">
        <f t="shared" si="23"/>
        <v>14.399999999999997</v>
      </c>
      <c r="W86" s="76">
        <f>((G86*0.3+MILK2024_Imperial!$J$22*0.7)/100)*MILK2024_Imperial!AT86</f>
        <v>4.5856445751997779</v>
      </c>
      <c r="X86" s="76">
        <f>((S86*0.3+MILK2024_Imperial!$L$22*0.7)/100)*MILK2024_Imperial!AT86</f>
        <v>2.8283731001045389</v>
      </c>
      <c r="Y86" s="76">
        <f>((T86*0.3+MILK2024_Imperial!$M$22*0.7)/100)*MILK2024_Imperial!AT86</f>
        <v>1.4298208821942155</v>
      </c>
      <c r="Z86" s="76">
        <f t="shared" si="24"/>
        <v>3.4787109692996374</v>
      </c>
      <c r="AA86" s="76">
        <f t="shared" si="25"/>
        <v>1.0436132907898912</v>
      </c>
      <c r="AB86" s="76">
        <f>AA86+MILK2024_Imperial!$U$32</f>
        <v>3.5106375837640469</v>
      </c>
      <c r="AC86" s="76">
        <f>($AC$10*0.2)/(MILK2024_Imperial!AT86)</f>
        <v>2.1952587200950457</v>
      </c>
      <c r="AD86" s="76">
        <f t="shared" si="26"/>
        <v>15.518325182771083</v>
      </c>
      <c r="AE86" s="76">
        <f t="shared" si="27"/>
        <v>3.2733558347128535</v>
      </c>
      <c r="AF86" s="46">
        <f>(AC86*MILK2024_Imperial!AT86)/1000</f>
        <v>6.0000000000000005E-2</v>
      </c>
      <c r="AG86" s="76">
        <f>(AD86*MILK2024_Imperial!AT86)/1000</f>
        <v>0.42414112853447733</v>
      </c>
      <c r="AH86" s="76">
        <f t="shared" si="28"/>
        <v>0.82301469114619663</v>
      </c>
      <c r="AI86" s="50">
        <f t="shared" si="29"/>
        <v>339.84845660228433</v>
      </c>
      <c r="AJ86" s="76">
        <f>(0.0146*AI86)/MILK2024_Imperial!AT86</f>
        <v>0.18154012004763848</v>
      </c>
      <c r="AK86" s="76">
        <f>(0.294*MILK2024_Imperial!AT86-0.347*(U86*0.3+MILK2024_Imperial!$U$17*0.7)+0.0409*(H86*0.3+$F$22*0.7))/MILK2024_Imperial!AT86</f>
        <v>0.28296826901575345</v>
      </c>
      <c r="AL86" s="76">
        <f t="shared" si="30"/>
        <v>2.8088474456494614</v>
      </c>
      <c r="AM86" s="76">
        <f t="shared" si="31"/>
        <v>1.8538393141286447</v>
      </c>
      <c r="AN86" s="76">
        <f t="shared" si="38"/>
        <v>33.538450980075311</v>
      </c>
      <c r="AO86" s="76">
        <f t="shared" si="32"/>
        <v>0.2972717251180757</v>
      </c>
      <c r="AP86" s="78">
        <f t="shared" si="33"/>
        <v>9.9700331806350047</v>
      </c>
      <c r="AQ86" s="78">
        <f t="shared" si="34"/>
        <v>0.8025160835789511</v>
      </c>
      <c r="AR86" s="78">
        <f t="shared" si="39"/>
        <v>13.473017811668925</v>
      </c>
      <c r="AS86" s="78">
        <f t="shared" si="35"/>
        <v>29.640639185671635</v>
      </c>
      <c r="AT86" s="78">
        <f t="shared" si="40"/>
        <v>27.331630413659056</v>
      </c>
      <c r="AU86" s="78">
        <f t="shared" si="36"/>
        <v>60.12958691004993</v>
      </c>
      <c r="AV86" s="78">
        <f t="shared" si="37"/>
        <v>18.038876073014979</v>
      </c>
      <c r="AW86" s="79">
        <f t="shared" si="41"/>
        <v>3286.3066485624522</v>
      </c>
      <c r="AX86" s="79">
        <f t="shared" si="42"/>
        <v>32863.06648562452</v>
      </c>
      <c r="AY86" s="30"/>
      <c r="AZ86" s="1"/>
    </row>
    <row r="87" spans="1:52" x14ac:dyDescent="0.2">
      <c r="A87" s="47" t="s">
        <v>242</v>
      </c>
      <c r="B87" s="47"/>
      <c r="C87" s="48">
        <v>10</v>
      </c>
      <c r="D87" s="48">
        <v>37.1</v>
      </c>
      <c r="E87" s="48">
        <v>76.8</v>
      </c>
      <c r="F87" s="48">
        <v>3.5</v>
      </c>
      <c r="G87" s="48">
        <v>7.4</v>
      </c>
      <c r="H87" s="80">
        <f>'Fiber_Ash Inputs'!V60</f>
        <v>35.6</v>
      </c>
      <c r="I87" s="80">
        <f>'Fiber_Ash Inputs'!W60</f>
        <v>64.2</v>
      </c>
      <c r="J87" s="80">
        <f>'Fiber_Ash Inputs'!X60</f>
        <v>7.9</v>
      </c>
      <c r="K87" s="80">
        <f>'Fiber_Ash Inputs'!U60</f>
        <v>3</v>
      </c>
      <c r="L87" s="76">
        <f t="shared" si="15"/>
        <v>24.35079535546226</v>
      </c>
      <c r="M87" s="76">
        <f t="shared" si="16"/>
        <v>94.616843393682686</v>
      </c>
      <c r="N87" s="76">
        <f t="shared" si="17"/>
        <v>22.191011235955056</v>
      </c>
      <c r="O87" s="76">
        <f t="shared" si="18"/>
        <v>22.191011235955056</v>
      </c>
      <c r="P87" s="76">
        <f>(100*((LN((100-O87)-I87)-4.6052)/-'Fiber_Ash Inputs'!$D$17))*'Fiber_Ash Inputs'!$C$17</f>
        <v>7.3869240261072449</v>
      </c>
      <c r="Q87" s="76">
        <f t="shared" si="19"/>
        <v>58.830414718402729</v>
      </c>
      <c r="R87" s="76">
        <f>IF('Fiber_Ash Inputs'!$B$11=30,MILK2024_Imperial!I87,IF('Fiber_Ash Inputs'!$B$11=48,MILK2024_Imperial!I87*0.926))</f>
        <v>64.2</v>
      </c>
      <c r="S87" s="76">
        <f t="shared" si="20"/>
        <v>5.6980000000000004</v>
      </c>
      <c r="T87" s="76">
        <f t="shared" si="21"/>
        <v>1.7094</v>
      </c>
      <c r="U87" s="46">
        <f t="shared" si="22"/>
        <v>2.5</v>
      </c>
      <c r="V87" s="77">
        <f t="shared" si="23"/>
        <v>14.399999999999997</v>
      </c>
      <c r="W87" s="76">
        <f>((G87*0.3+MILK2024_Imperial!$J$22*0.7)/100)*MILK2024_Imperial!AT87</f>
        <v>4.5856445751997779</v>
      </c>
      <c r="X87" s="76">
        <f>((S87*0.3+MILK2024_Imperial!$L$22*0.7)/100)*MILK2024_Imperial!AT87</f>
        <v>2.8283731001045389</v>
      </c>
      <c r="Y87" s="76">
        <f>((T87*0.3+MILK2024_Imperial!$M$22*0.7)/100)*MILK2024_Imperial!AT87</f>
        <v>1.4298208821942155</v>
      </c>
      <c r="Z87" s="76">
        <f t="shared" si="24"/>
        <v>3.4787109692996374</v>
      </c>
      <c r="AA87" s="76">
        <f t="shared" si="25"/>
        <v>1.0436132907898912</v>
      </c>
      <c r="AB87" s="76">
        <f>AA87+MILK2024_Imperial!$U$32</f>
        <v>3.5106375837640469</v>
      </c>
      <c r="AC87" s="76">
        <f>($AC$10*0.2)/(MILK2024_Imperial!AT87)</f>
        <v>2.1952587200950457</v>
      </c>
      <c r="AD87" s="76">
        <f t="shared" si="26"/>
        <v>15.518325182771083</v>
      </c>
      <c r="AE87" s="76">
        <f t="shared" si="27"/>
        <v>3.2733558347128535</v>
      </c>
      <c r="AF87" s="46">
        <f>(AC87*MILK2024_Imperial!AT87)/1000</f>
        <v>6.0000000000000005E-2</v>
      </c>
      <c r="AG87" s="76">
        <f>(AD87*MILK2024_Imperial!AT87)/1000</f>
        <v>0.42414112853447733</v>
      </c>
      <c r="AH87" s="76">
        <f t="shared" si="28"/>
        <v>0.82301469114619663</v>
      </c>
      <c r="AI87" s="50">
        <f t="shared" si="29"/>
        <v>339.84845660228433</v>
      </c>
      <c r="AJ87" s="76">
        <f>(0.0146*AI87)/MILK2024_Imperial!AT87</f>
        <v>0.18154012004763848</v>
      </c>
      <c r="AK87" s="76">
        <f>(0.294*MILK2024_Imperial!AT87-0.347*(U87*0.3+MILK2024_Imperial!$U$17*0.7)+0.0409*(H87*0.3+$F$22*0.7))/MILK2024_Imperial!AT87</f>
        <v>0.28296826901575345</v>
      </c>
      <c r="AL87" s="76">
        <f t="shared" si="30"/>
        <v>2.8088474456494614</v>
      </c>
      <c r="AM87" s="76">
        <f t="shared" si="31"/>
        <v>1.8538393141286447</v>
      </c>
      <c r="AN87" s="76">
        <f t="shared" si="38"/>
        <v>33.538450980075311</v>
      </c>
      <c r="AO87" s="76">
        <f t="shared" si="32"/>
        <v>0.2972717251180757</v>
      </c>
      <c r="AP87" s="78">
        <f t="shared" si="33"/>
        <v>9.9700331806350047</v>
      </c>
      <c r="AQ87" s="78">
        <f t="shared" si="34"/>
        <v>0.8025160835789511</v>
      </c>
      <c r="AR87" s="78">
        <f t="shared" si="39"/>
        <v>13.473017811668925</v>
      </c>
      <c r="AS87" s="78">
        <f t="shared" si="35"/>
        <v>29.640639185671635</v>
      </c>
      <c r="AT87" s="78">
        <f t="shared" si="40"/>
        <v>27.331630413659056</v>
      </c>
      <c r="AU87" s="78">
        <f t="shared" si="36"/>
        <v>60.12958691004993</v>
      </c>
      <c r="AV87" s="78">
        <f t="shared" si="37"/>
        <v>18.038876073014979</v>
      </c>
      <c r="AW87" s="79">
        <f t="shared" si="41"/>
        <v>3286.3066485624522</v>
      </c>
      <c r="AX87" s="79">
        <f t="shared" si="42"/>
        <v>32863.06648562452</v>
      </c>
      <c r="AY87" s="30"/>
      <c r="AZ87" s="1"/>
    </row>
    <row r="88" spans="1:52" x14ac:dyDescent="0.2">
      <c r="A88" s="47" t="s">
        <v>243</v>
      </c>
      <c r="B88" s="47"/>
      <c r="C88" s="48">
        <v>10</v>
      </c>
      <c r="D88" s="48">
        <v>37.1</v>
      </c>
      <c r="E88" s="48">
        <v>76.8</v>
      </c>
      <c r="F88" s="48">
        <v>3.5</v>
      </c>
      <c r="G88" s="48">
        <v>7.4</v>
      </c>
      <c r="H88" s="80">
        <f>'Fiber_Ash Inputs'!V61</f>
        <v>35.6</v>
      </c>
      <c r="I88" s="80">
        <f>'Fiber_Ash Inputs'!W61</f>
        <v>64.2</v>
      </c>
      <c r="J88" s="80">
        <f>'Fiber_Ash Inputs'!X61</f>
        <v>7.9</v>
      </c>
      <c r="K88" s="80">
        <f>'Fiber_Ash Inputs'!U61</f>
        <v>3</v>
      </c>
      <c r="L88" s="76">
        <f t="shared" si="15"/>
        <v>24.35079535546226</v>
      </c>
      <c r="M88" s="76">
        <f t="shared" si="16"/>
        <v>94.616843393682686</v>
      </c>
      <c r="N88" s="76">
        <f t="shared" si="17"/>
        <v>22.191011235955056</v>
      </c>
      <c r="O88" s="76">
        <f t="shared" si="18"/>
        <v>22.191011235955056</v>
      </c>
      <c r="P88" s="76">
        <f>(100*((LN((100-O88)-I88)-4.6052)/-'Fiber_Ash Inputs'!$D$17))*'Fiber_Ash Inputs'!$C$17</f>
        <v>7.3869240261072449</v>
      </c>
      <c r="Q88" s="76">
        <f t="shared" si="19"/>
        <v>58.830414718402729</v>
      </c>
      <c r="R88" s="76">
        <f>IF('Fiber_Ash Inputs'!$B$11=30,MILK2024_Imperial!I88,IF('Fiber_Ash Inputs'!$B$11=48,MILK2024_Imperial!I88*0.926))</f>
        <v>64.2</v>
      </c>
      <c r="S88" s="76">
        <f t="shared" si="20"/>
        <v>5.6980000000000004</v>
      </c>
      <c r="T88" s="76">
        <f t="shared" si="21"/>
        <v>1.7094</v>
      </c>
      <c r="U88" s="46">
        <f t="shared" si="22"/>
        <v>2.5</v>
      </c>
      <c r="V88" s="77">
        <f t="shared" si="23"/>
        <v>14.399999999999997</v>
      </c>
      <c r="W88" s="76">
        <f>((G88*0.3+MILK2024_Imperial!$J$22*0.7)/100)*MILK2024_Imperial!AT88</f>
        <v>4.5856445751997779</v>
      </c>
      <c r="X88" s="76">
        <f>((S88*0.3+MILK2024_Imperial!$L$22*0.7)/100)*MILK2024_Imperial!AT88</f>
        <v>2.8283731001045389</v>
      </c>
      <c r="Y88" s="76">
        <f>((T88*0.3+MILK2024_Imperial!$M$22*0.7)/100)*MILK2024_Imperial!AT88</f>
        <v>1.4298208821942155</v>
      </c>
      <c r="Z88" s="76">
        <f t="shared" si="24"/>
        <v>3.4787109692996374</v>
      </c>
      <c r="AA88" s="76">
        <f t="shared" si="25"/>
        <v>1.0436132907898912</v>
      </c>
      <c r="AB88" s="76">
        <f>AA88+MILK2024_Imperial!$U$32</f>
        <v>3.5106375837640469</v>
      </c>
      <c r="AC88" s="76">
        <f>($AC$10*0.2)/(MILK2024_Imperial!AT88)</f>
        <v>2.1952587200950457</v>
      </c>
      <c r="AD88" s="76">
        <f t="shared" si="26"/>
        <v>15.518325182771083</v>
      </c>
      <c r="AE88" s="76">
        <f t="shared" si="27"/>
        <v>3.2733558347128535</v>
      </c>
      <c r="AF88" s="46">
        <f>(AC88*MILK2024_Imperial!AT88)/1000</f>
        <v>6.0000000000000005E-2</v>
      </c>
      <c r="AG88" s="76">
        <f>(AD88*MILK2024_Imperial!AT88)/1000</f>
        <v>0.42414112853447733</v>
      </c>
      <c r="AH88" s="76">
        <f t="shared" si="28"/>
        <v>0.82301469114619663</v>
      </c>
      <c r="AI88" s="50">
        <f t="shared" si="29"/>
        <v>339.84845660228433</v>
      </c>
      <c r="AJ88" s="76">
        <f>(0.0146*AI88)/MILK2024_Imperial!AT88</f>
        <v>0.18154012004763848</v>
      </c>
      <c r="AK88" s="76">
        <f>(0.294*MILK2024_Imperial!AT88-0.347*(U88*0.3+MILK2024_Imperial!$U$17*0.7)+0.0409*(H88*0.3+$F$22*0.7))/MILK2024_Imperial!AT88</f>
        <v>0.28296826901575345</v>
      </c>
      <c r="AL88" s="76">
        <f t="shared" si="30"/>
        <v>2.8088474456494614</v>
      </c>
      <c r="AM88" s="76">
        <f t="shared" si="31"/>
        <v>1.8538393141286447</v>
      </c>
      <c r="AN88" s="76">
        <f t="shared" si="38"/>
        <v>33.538450980075311</v>
      </c>
      <c r="AO88" s="76">
        <f t="shared" si="32"/>
        <v>0.2972717251180757</v>
      </c>
      <c r="AP88" s="78">
        <f t="shared" si="33"/>
        <v>9.9700331806350047</v>
      </c>
      <c r="AQ88" s="78">
        <f t="shared" si="34"/>
        <v>0.8025160835789511</v>
      </c>
      <c r="AR88" s="78">
        <f t="shared" si="39"/>
        <v>13.473017811668925</v>
      </c>
      <c r="AS88" s="78">
        <f t="shared" si="35"/>
        <v>29.640639185671635</v>
      </c>
      <c r="AT88" s="78">
        <f t="shared" si="40"/>
        <v>27.331630413659056</v>
      </c>
      <c r="AU88" s="78">
        <f t="shared" si="36"/>
        <v>60.12958691004993</v>
      </c>
      <c r="AV88" s="78">
        <f t="shared" si="37"/>
        <v>18.038876073014979</v>
      </c>
      <c r="AW88" s="79">
        <f t="shared" si="41"/>
        <v>3286.3066485624522</v>
      </c>
      <c r="AX88" s="79">
        <f t="shared" si="42"/>
        <v>32863.06648562452</v>
      </c>
      <c r="AY88" s="30"/>
      <c r="AZ88" s="1"/>
    </row>
    <row r="89" spans="1:52" x14ac:dyDescent="0.2">
      <c r="A89" s="47" t="s">
        <v>244</v>
      </c>
      <c r="B89" s="47"/>
      <c r="C89" s="48">
        <v>10</v>
      </c>
      <c r="D89" s="48">
        <v>37.1</v>
      </c>
      <c r="E89" s="48">
        <v>76.8</v>
      </c>
      <c r="F89" s="48">
        <v>3.5</v>
      </c>
      <c r="G89" s="48">
        <v>7.4</v>
      </c>
      <c r="H89" s="80">
        <f>'Fiber_Ash Inputs'!V62</f>
        <v>35.6</v>
      </c>
      <c r="I89" s="80">
        <f>'Fiber_Ash Inputs'!W62</f>
        <v>64.2</v>
      </c>
      <c r="J89" s="80">
        <f>'Fiber_Ash Inputs'!X62</f>
        <v>7.9</v>
      </c>
      <c r="K89" s="80">
        <f>'Fiber_Ash Inputs'!U62</f>
        <v>3</v>
      </c>
      <c r="L89" s="76">
        <f t="shared" si="15"/>
        <v>24.35079535546226</v>
      </c>
      <c r="M89" s="76">
        <f t="shared" si="16"/>
        <v>94.616843393682686</v>
      </c>
      <c r="N89" s="76">
        <f t="shared" si="17"/>
        <v>22.191011235955056</v>
      </c>
      <c r="O89" s="76">
        <f t="shared" si="18"/>
        <v>22.191011235955056</v>
      </c>
      <c r="P89" s="76">
        <f>(100*((LN((100-O89)-I89)-4.6052)/-'Fiber_Ash Inputs'!$D$17))*'Fiber_Ash Inputs'!$C$17</f>
        <v>7.3869240261072449</v>
      </c>
      <c r="Q89" s="76">
        <f t="shared" si="19"/>
        <v>58.830414718402729</v>
      </c>
      <c r="R89" s="76">
        <f>IF('Fiber_Ash Inputs'!$B$11=30,MILK2024_Imperial!I89,IF('Fiber_Ash Inputs'!$B$11=48,MILK2024_Imperial!I89*0.926))</f>
        <v>64.2</v>
      </c>
      <c r="S89" s="76">
        <f t="shared" si="20"/>
        <v>5.6980000000000004</v>
      </c>
      <c r="T89" s="76">
        <f t="shared" si="21"/>
        <v>1.7094</v>
      </c>
      <c r="U89" s="46">
        <f t="shared" si="22"/>
        <v>2.5</v>
      </c>
      <c r="V89" s="77">
        <f t="shared" si="23"/>
        <v>14.399999999999997</v>
      </c>
      <c r="W89" s="76">
        <f>((G89*0.3+MILK2024_Imperial!$J$22*0.7)/100)*MILK2024_Imperial!AT89</f>
        <v>4.5856445751997779</v>
      </c>
      <c r="X89" s="76">
        <f>((S89*0.3+MILK2024_Imperial!$L$22*0.7)/100)*MILK2024_Imperial!AT89</f>
        <v>2.8283731001045389</v>
      </c>
      <c r="Y89" s="76">
        <f>((T89*0.3+MILK2024_Imperial!$M$22*0.7)/100)*MILK2024_Imperial!AT89</f>
        <v>1.4298208821942155</v>
      </c>
      <c r="Z89" s="76">
        <f t="shared" si="24"/>
        <v>3.4787109692996374</v>
      </c>
      <c r="AA89" s="76">
        <f t="shared" si="25"/>
        <v>1.0436132907898912</v>
      </c>
      <c r="AB89" s="76">
        <f>AA89+MILK2024_Imperial!$U$32</f>
        <v>3.5106375837640469</v>
      </c>
      <c r="AC89" s="76">
        <f>($AC$10*0.2)/(MILK2024_Imperial!AT89)</f>
        <v>2.1952587200950457</v>
      </c>
      <c r="AD89" s="76">
        <f t="shared" si="26"/>
        <v>15.518325182771083</v>
      </c>
      <c r="AE89" s="76">
        <f t="shared" si="27"/>
        <v>3.2733558347128535</v>
      </c>
      <c r="AF89" s="46">
        <f>(AC89*MILK2024_Imperial!AT89)/1000</f>
        <v>6.0000000000000005E-2</v>
      </c>
      <c r="AG89" s="76">
        <f>(AD89*MILK2024_Imperial!AT89)/1000</f>
        <v>0.42414112853447733</v>
      </c>
      <c r="AH89" s="76">
        <f t="shared" si="28"/>
        <v>0.82301469114619663</v>
      </c>
      <c r="AI89" s="50">
        <f t="shared" si="29"/>
        <v>339.84845660228433</v>
      </c>
      <c r="AJ89" s="76">
        <f>(0.0146*AI89)/MILK2024_Imperial!AT89</f>
        <v>0.18154012004763848</v>
      </c>
      <c r="AK89" s="76">
        <f>(0.294*MILK2024_Imperial!AT89-0.347*(U89*0.3+MILK2024_Imperial!$U$17*0.7)+0.0409*(H89*0.3+$F$22*0.7))/MILK2024_Imperial!AT89</f>
        <v>0.28296826901575345</v>
      </c>
      <c r="AL89" s="76">
        <f t="shared" si="30"/>
        <v>2.8088474456494614</v>
      </c>
      <c r="AM89" s="76">
        <f t="shared" si="31"/>
        <v>1.8538393141286447</v>
      </c>
      <c r="AN89" s="76">
        <f t="shared" si="38"/>
        <v>33.538450980075311</v>
      </c>
      <c r="AO89" s="76">
        <f t="shared" si="32"/>
        <v>0.2972717251180757</v>
      </c>
      <c r="AP89" s="78">
        <f t="shared" si="33"/>
        <v>9.9700331806350047</v>
      </c>
      <c r="AQ89" s="78">
        <f t="shared" si="34"/>
        <v>0.8025160835789511</v>
      </c>
      <c r="AR89" s="78">
        <f t="shared" si="39"/>
        <v>13.473017811668925</v>
      </c>
      <c r="AS89" s="78">
        <f t="shared" si="35"/>
        <v>29.640639185671635</v>
      </c>
      <c r="AT89" s="78">
        <f t="shared" si="40"/>
        <v>27.331630413659056</v>
      </c>
      <c r="AU89" s="78">
        <f t="shared" si="36"/>
        <v>60.12958691004993</v>
      </c>
      <c r="AV89" s="78">
        <f t="shared" si="37"/>
        <v>18.038876073014979</v>
      </c>
      <c r="AW89" s="79">
        <f t="shared" si="41"/>
        <v>3286.3066485624522</v>
      </c>
      <c r="AX89" s="79">
        <f t="shared" si="42"/>
        <v>32863.06648562452</v>
      </c>
      <c r="AY89" s="30"/>
      <c r="AZ89" s="1"/>
    </row>
    <row r="90" spans="1:52" x14ac:dyDescent="0.2">
      <c r="A90" s="47" t="s">
        <v>245</v>
      </c>
      <c r="B90" s="47"/>
      <c r="C90" s="48">
        <v>10</v>
      </c>
      <c r="D90" s="48">
        <v>37.1</v>
      </c>
      <c r="E90" s="48">
        <v>76.8</v>
      </c>
      <c r="F90" s="48">
        <v>3.5</v>
      </c>
      <c r="G90" s="48">
        <v>7.4</v>
      </c>
      <c r="H90" s="80">
        <f>'Fiber_Ash Inputs'!V63</f>
        <v>35.6</v>
      </c>
      <c r="I90" s="80">
        <f>'Fiber_Ash Inputs'!W63</f>
        <v>64.2</v>
      </c>
      <c r="J90" s="80">
        <f>'Fiber_Ash Inputs'!X63</f>
        <v>7.9</v>
      </c>
      <c r="K90" s="80">
        <f>'Fiber_Ash Inputs'!U63</f>
        <v>3</v>
      </c>
      <c r="L90" s="76">
        <f t="shared" si="15"/>
        <v>24.35079535546226</v>
      </c>
      <c r="M90" s="76">
        <f t="shared" si="16"/>
        <v>94.616843393682686</v>
      </c>
      <c r="N90" s="76">
        <f t="shared" si="17"/>
        <v>22.191011235955056</v>
      </c>
      <c r="O90" s="76">
        <f t="shared" si="18"/>
        <v>22.191011235955056</v>
      </c>
      <c r="P90" s="76">
        <f>(100*((LN((100-O90)-I90)-4.6052)/-'Fiber_Ash Inputs'!$D$17))*'Fiber_Ash Inputs'!$C$17</f>
        <v>7.3869240261072449</v>
      </c>
      <c r="Q90" s="76">
        <f t="shared" si="19"/>
        <v>58.830414718402729</v>
      </c>
      <c r="R90" s="76">
        <f>IF('Fiber_Ash Inputs'!$B$11=30,MILK2024_Imperial!I90,IF('Fiber_Ash Inputs'!$B$11=48,MILK2024_Imperial!I90*0.926))</f>
        <v>64.2</v>
      </c>
      <c r="S90" s="76">
        <f t="shared" si="20"/>
        <v>5.6980000000000004</v>
      </c>
      <c r="T90" s="76">
        <f t="shared" si="21"/>
        <v>1.7094</v>
      </c>
      <c r="U90" s="46">
        <f t="shared" si="22"/>
        <v>2.5</v>
      </c>
      <c r="V90" s="77">
        <f t="shared" si="23"/>
        <v>14.399999999999997</v>
      </c>
      <c r="W90" s="76">
        <f>((G90*0.3+MILK2024_Imperial!$J$22*0.7)/100)*MILK2024_Imperial!AT90</f>
        <v>4.5856445751997779</v>
      </c>
      <c r="X90" s="76">
        <f>((S90*0.3+MILK2024_Imperial!$L$22*0.7)/100)*MILK2024_Imperial!AT90</f>
        <v>2.8283731001045389</v>
      </c>
      <c r="Y90" s="76">
        <f>((T90*0.3+MILK2024_Imperial!$M$22*0.7)/100)*MILK2024_Imperial!AT90</f>
        <v>1.4298208821942155</v>
      </c>
      <c r="Z90" s="76">
        <f t="shared" si="24"/>
        <v>3.4787109692996374</v>
      </c>
      <c r="AA90" s="76">
        <f t="shared" si="25"/>
        <v>1.0436132907898912</v>
      </c>
      <c r="AB90" s="76">
        <f>AA90+MILK2024_Imperial!$U$32</f>
        <v>3.5106375837640469</v>
      </c>
      <c r="AC90" s="76">
        <f>($AC$10*0.2)/(MILK2024_Imperial!AT90)</f>
        <v>2.1952587200950457</v>
      </c>
      <c r="AD90" s="76">
        <f t="shared" si="26"/>
        <v>15.518325182771083</v>
      </c>
      <c r="AE90" s="76">
        <f t="shared" si="27"/>
        <v>3.2733558347128535</v>
      </c>
      <c r="AF90" s="46">
        <f>(AC90*MILK2024_Imperial!AT90)/1000</f>
        <v>6.0000000000000005E-2</v>
      </c>
      <c r="AG90" s="76">
        <f>(AD90*MILK2024_Imperial!AT90)/1000</f>
        <v>0.42414112853447733</v>
      </c>
      <c r="AH90" s="76">
        <f t="shared" si="28"/>
        <v>0.82301469114619663</v>
      </c>
      <c r="AI90" s="50">
        <f t="shared" si="29"/>
        <v>339.84845660228433</v>
      </c>
      <c r="AJ90" s="76">
        <f>(0.0146*AI90)/MILK2024_Imperial!AT90</f>
        <v>0.18154012004763848</v>
      </c>
      <c r="AK90" s="76">
        <f>(0.294*MILK2024_Imperial!AT90-0.347*(U90*0.3+MILK2024_Imperial!$U$17*0.7)+0.0409*(H90*0.3+$F$22*0.7))/MILK2024_Imperial!AT90</f>
        <v>0.28296826901575345</v>
      </c>
      <c r="AL90" s="76">
        <f t="shared" si="30"/>
        <v>2.8088474456494614</v>
      </c>
      <c r="AM90" s="76">
        <f t="shared" si="31"/>
        <v>1.8538393141286447</v>
      </c>
      <c r="AN90" s="76">
        <f t="shared" si="38"/>
        <v>33.538450980075311</v>
      </c>
      <c r="AO90" s="76">
        <f t="shared" si="32"/>
        <v>0.2972717251180757</v>
      </c>
      <c r="AP90" s="78">
        <f t="shared" si="33"/>
        <v>9.9700331806350047</v>
      </c>
      <c r="AQ90" s="78">
        <f t="shared" si="34"/>
        <v>0.8025160835789511</v>
      </c>
      <c r="AR90" s="78">
        <f t="shared" si="39"/>
        <v>13.473017811668925</v>
      </c>
      <c r="AS90" s="78">
        <f t="shared" si="35"/>
        <v>29.640639185671635</v>
      </c>
      <c r="AT90" s="78">
        <f t="shared" si="40"/>
        <v>27.331630413659056</v>
      </c>
      <c r="AU90" s="78">
        <f t="shared" si="36"/>
        <v>60.12958691004993</v>
      </c>
      <c r="AV90" s="78">
        <f t="shared" si="37"/>
        <v>18.038876073014979</v>
      </c>
      <c r="AW90" s="79">
        <f t="shared" si="41"/>
        <v>3286.3066485624522</v>
      </c>
      <c r="AX90" s="79">
        <f t="shared" si="42"/>
        <v>32863.06648562452</v>
      </c>
      <c r="AY90" s="30"/>
      <c r="AZ90" s="1"/>
    </row>
    <row r="91" spans="1:52" x14ac:dyDescent="0.2">
      <c r="A91" s="47" t="s">
        <v>246</v>
      </c>
      <c r="B91" s="47"/>
      <c r="C91" s="48">
        <v>10</v>
      </c>
      <c r="D91" s="48">
        <v>37.1</v>
      </c>
      <c r="E91" s="48">
        <v>76.8</v>
      </c>
      <c r="F91" s="48">
        <v>3.5</v>
      </c>
      <c r="G91" s="48">
        <v>7.4</v>
      </c>
      <c r="H91" s="80">
        <f>'Fiber_Ash Inputs'!V64</f>
        <v>35.6</v>
      </c>
      <c r="I91" s="80">
        <f>'Fiber_Ash Inputs'!W64</f>
        <v>64.2</v>
      </c>
      <c r="J91" s="80">
        <f>'Fiber_Ash Inputs'!X64</f>
        <v>7.9</v>
      </c>
      <c r="K91" s="80">
        <f>'Fiber_Ash Inputs'!U64</f>
        <v>3</v>
      </c>
      <c r="L91" s="76">
        <f t="shared" si="15"/>
        <v>24.35079535546226</v>
      </c>
      <c r="M91" s="76">
        <f t="shared" si="16"/>
        <v>94.616843393682686</v>
      </c>
      <c r="N91" s="76">
        <f t="shared" si="17"/>
        <v>22.191011235955056</v>
      </c>
      <c r="O91" s="76">
        <f t="shared" si="18"/>
        <v>22.191011235955056</v>
      </c>
      <c r="P91" s="76">
        <f>(100*((LN((100-O91)-I91)-4.6052)/-'Fiber_Ash Inputs'!$D$17))*'Fiber_Ash Inputs'!$C$17</f>
        <v>7.3869240261072449</v>
      </c>
      <c r="Q91" s="76">
        <f t="shared" si="19"/>
        <v>58.830414718402729</v>
      </c>
      <c r="R91" s="76">
        <f>IF('Fiber_Ash Inputs'!$B$11=30,MILK2024_Imperial!I91,IF('Fiber_Ash Inputs'!$B$11=48,MILK2024_Imperial!I91*0.926))</f>
        <v>64.2</v>
      </c>
      <c r="S91" s="76">
        <f t="shared" si="20"/>
        <v>5.6980000000000004</v>
      </c>
      <c r="T91" s="76">
        <f t="shared" si="21"/>
        <v>1.7094</v>
      </c>
      <c r="U91" s="46">
        <f t="shared" si="22"/>
        <v>2.5</v>
      </c>
      <c r="V91" s="77">
        <f t="shared" si="23"/>
        <v>14.399999999999997</v>
      </c>
      <c r="W91" s="76">
        <f>((G91*0.3+MILK2024_Imperial!$J$22*0.7)/100)*MILK2024_Imperial!AT91</f>
        <v>4.5856445751997779</v>
      </c>
      <c r="X91" s="76">
        <f>((S91*0.3+MILK2024_Imperial!$L$22*0.7)/100)*MILK2024_Imperial!AT91</f>
        <v>2.8283731001045389</v>
      </c>
      <c r="Y91" s="76">
        <f>((T91*0.3+MILK2024_Imperial!$M$22*0.7)/100)*MILK2024_Imperial!AT91</f>
        <v>1.4298208821942155</v>
      </c>
      <c r="Z91" s="76">
        <f t="shared" si="24"/>
        <v>3.4787109692996374</v>
      </c>
      <c r="AA91" s="76">
        <f t="shared" si="25"/>
        <v>1.0436132907898912</v>
      </c>
      <c r="AB91" s="76">
        <f>AA91+MILK2024_Imperial!$U$32</f>
        <v>3.5106375837640469</v>
      </c>
      <c r="AC91" s="76">
        <f>($AC$10*0.2)/(MILK2024_Imperial!AT91)</f>
        <v>2.1952587200950457</v>
      </c>
      <c r="AD91" s="76">
        <f t="shared" si="26"/>
        <v>15.518325182771083</v>
      </c>
      <c r="AE91" s="76">
        <f t="shared" si="27"/>
        <v>3.2733558347128535</v>
      </c>
      <c r="AF91" s="46">
        <f>(AC91*MILK2024_Imperial!AT91)/1000</f>
        <v>6.0000000000000005E-2</v>
      </c>
      <c r="AG91" s="76">
        <f>(AD91*MILK2024_Imperial!AT91)/1000</f>
        <v>0.42414112853447733</v>
      </c>
      <c r="AH91" s="76">
        <f t="shared" si="28"/>
        <v>0.82301469114619663</v>
      </c>
      <c r="AI91" s="50">
        <f t="shared" si="29"/>
        <v>339.84845660228433</v>
      </c>
      <c r="AJ91" s="76">
        <f>(0.0146*AI91)/MILK2024_Imperial!AT91</f>
        <v>0.18154012004763848</v>
      </c>
      <c r="AK91" s="76">
        <f>(0.294*MILK2024_Imperial!AT91-0.347*(U91*0.3+MILK2024_Imperial!$U$17*0.7)+0.0409*(H91*0.3+$F$22*0.7))/MILK2024_Imperial!AT91</f>
        <v>0.28296826901575345</v>
      </c>
      <c r="AL91" s="76">
        <f t="shared" si="30"/>
        <v>2.8088474456494614</v>
      </c>
      <c r="AM91" s="76">
        <f t="shared" si="31"/>
        <v>1.8538393141286447</v>
      </c>
      <c r="AN91" s="76">
        <f t="shared" si="38"/>
        <v>33.538450980075311</v>
      </c>
      <c r="AO91" s="76">
        <f t="shared" si="32"/>
        <v>0.2972717251180757</v>
      </c>
      <c r="AP91" s="78">
        <f t="shared" si="33"/>
        <v>9.9700331806350047</v>
      </c>
      <c r="AQ91" s="78">
        <f t="shared" si="34"/>
        <v>0.8025160835789511</v>
      </c>
      <c r="AR91" s="78">
        <f t="shared" si="39"/>
        <v>13.473017811668925</v>
      </c>
      <c r="AS91" s="78">
        <f t="shared" si="35"/>
        <v>29.640639185671635</v>
      </c>
      <c r="AT91" s="78">
        <f t="shared" si="40"/>
        <v>27.331630413659056</v>
      </c>
      <c r="AU91" s="78">
        <f t="shared" si="36"/>
        <v>60.12958691004993</v>
      </c>
      <c r="AV91" s="78">
        <f t="shared" si="37"/>
        <v>18.038876073014979</v>
      </c>
      <c r="AW91" s="79">
        <f t="shared" si="41"/>
        <v>3286.3066485624522</v>
      </c>
      <c r="AX91" s="79">
        <f t="shared" si="42"/>
        <v>32863.06648562452</v>
      </c>
      <c r="AY91" s="30"/>
      <c r="AZ91" s="1"/>
    </row>
    <row r="92" spans="1:52" x14ac:dyDescent="0.2">
      <c r="A92" s="47" t="s">
        <v>247</v>
      </c>
      <c r="B92" s="47"/>
      <c r="C92" s="48">
        <v>10</v>
      </c>
      <c r="D92" s="48">
        <v>37.1</v>
      </c>
      <c r="E92" s="48">
        <v>76.8</v>
      </c>
      <c r="F92" s="48">
        <v>3.5</v>
      </c>
      <c r="G92" s="48">
        <v>7.4</v>
      </c>
      <c r="H92" s="80">
        <f>'Fiber_Ash Inputs'!V65</f>
        <v>35.6</v>
      </c>
      <c r="I92" s="80">
        <f>'Fiber_Ash Inputs'!W65</f>
        <v>64.2</v>
      </c>
      <c r="J92" s="80">
        <f>'Fiber_Ash Inputs'!X65</f>
        <v>7.9</v>
      </c>
      <c r="K92" s="80">
        <f>'Fiber_Ash Inputs'!U65</f>
        <v>3</v>
      </c>
      <c r="L92" s="76">
        <f t="shared" si="15"/>
        <v>24.35079535546226</v>
      </c>
      <c r="M92" s="76">
        <f t="shared" si="16"/>
        <v>94.616843393682686</v>
      </c>
      <c r="N92" s="76">
        <f t="shared" si="17"/>
        <v>22.191011235955056</v>
      </c>
      <c r="O92" s="76">
        <f t="shared" si="18"/>
        <v>22.191011235955056</v>
      </c>
      <c r="P92" s="76">
        <f>(100*((LN((100-O92)-I92)-4.6052)/-'Fiber_Ash Inputs'!$D$17))*'Fiber_Ash Inputs'!$C$17</f>
        <v>7.3869240261072449</v>
      </c>
      <c r="Q92" s="76">
        <f t="shared" si="19"/>
        <v>58.830414718402729</v>
      </c>
      <c r="R92" s="76">
        <f>IF('Fiber_Ash Inputs'!$B$11=30,MILK2024_Imperial!I92,IF('Fiber_Ash Inputs'!$B$11=48,MILK2024_Imperial!I92*0.926))</f>
        <v>64.2</v>
      </c>
      <c r="S92" s="76">
        <f t="shared" si="20"/>
        <v>5.6980000000000004</v>
      </c>
      <c r="T92" s="76">
        <f t="shared" si="21"/>
        <v>1.7094</v>
      </c>
      <c r="U92" s="46">
        <f t="shared" si="22"/>
        <v>2.5</v>
      </c>
      <c r="V92" s="77">
        <f t="shared" si="23"/>
        <v>14.399999999999997</v>
      </c>
      <c r="W92" s="76">
        <f>((G92*0.3+MILK2024_Imperial!$J$22*0.7)/100)*MILK2024_Imperial!AT92</f>
        <v>4.5856445751997779</v>
      </c>
      <c r="X92" s="76">
        <f>((S92*0.3+MILK2024_Imperial!$L$22*0.7)/100)*MILK2024_Imperial!AT92</f>
        <v>2.8283731001045389</v>
      </c>
      <c r="Y92" s="76">
        <f>((T92*0.3+MILK2024_Imperial!$M$22*0.7)/100)*MILK2024_Imperial!AT92</f>
        <v>1.4298208821942155</v>
      </c>
      <c r="Z92" s="76">
        <f t="shared" si="24"/>
        <v>3.4787109692996374</v>
      </c>
      <c r="AA92" s="76">
        <f t="shared" si="25"/>
        <v>1.0436132907898912</v>
      </c>
      <c r="AB92" s="76">
        <f>AA92+MILK2024_Imperial!$U$32</f>
        <v>3.5106375837640469</v>
      </c>
      <c r="AC92" s="76">
        <f>($AC$10*0.2)/(MILK2024_Imperial!AT92)</f>
        <v>2.1952587200950457</v>
      </c>
      <c r="AD92" s="76">
        <f t="shared" si="26"/>
        <v>15.518325182771083</v>
      </c>
      <c r="AE92" s="76">
        <f t="shared" si="27"/>
        <v>3.2733558347128535</v>
      </c>
      <c r="AF92" s="46">
        <f>(AC92*MILK2024_Imperial!AT92)/1000</f>
        <v>6.0000000000000005E-2</v>
      </c>
      <c r="AG92" s="76">
        <f>(AD92*MILK2024_Imperial!AT92)/1000</f>
        <v>0.42414112853447733</v>
      </c>
      <c r="AH92" s="76">
        <f t="shared" si="28"/>
        <v>0.82301469114619663</v>
      </c>
      <c r="AI92" s="50">
        <f t="shared" si="29"/>
        <v>339.84845660228433</v>
      </c>
      <c r="AJ92" s="76">
        <f>(0.0146*AI92)/MILK2024_Imperial!AT92</f>
        <v>0.18154012004763848</v>
      </c>
      <c r="AK92" s="76">
        <f>(0.294*MILK2024_Imperial!AT92-0.347*(U92*0.3+MILK2024_Imperial!$U$17*0.7)+0.0409*(H92*0.3+$F$22*0.7))/MILK2024_Imperial!AT92</f>
        <v>0.28296826901575345</v>
      </c>
      <c r="AL92" s="76">
        <f t="shared" si="30"/>
        <v>2.8088474456494614</v>
      </c>
      <c r="AM92" s="76">
        <f t="shared" si="31"/>
        <v>1.8538393141286447</v>
      </c>
      <c r="AN92" s="76">
        <f t="shared" si="38"/>
        <v>33.538450980075311</v>
      </c>
      <c r="AO92" s="76">
        <f t="shared" si="32"/>
        <v>0.2972717251180757</v>
      </c>
      <c r="AP92" s="78">
        <f t="shared" si="33"/>
        <v>9.9700331806350047</v>
      </c>
      <c r="AQ92" s="78">
        <f t="shared" si="34"/>
        <v>0.8025160835789511</v>
      </c>
      <c r="AR92" s="78">
        <f t="shared" si="39"/>
        <v>13.473017811668925</v>
      </c>
      <c r="AS92" s="78">
        <f t="shared" si="35"/>
        <v>29.640639185671635</v>
      </c>
      <c r="AT92" s="78">
        <f t="shared" si="40"/>
        <v>27.331630413659056</v>
      </c>
      <c r="AU92" s="78">
        <f t="shared" si="36"/>
        <v>60.12958691004993</v>
      </c>
      <c r="AV92" s="78">
        <f t="shared" si="37"/>
        <v>18.038876073014979</v>
      </c>
      <c r="AW92" s="79">
        <f t="shared" si="41"/>
        <v>3286.3066485624522</v>
      </c>
      <c r="AX92" s="79">
        <f t="shared" si="42"/>
        <v>32863.06648562452</v>
      </c>
      <c r="AY92" s="30"/>
      <c r="AZ92" s="1"/>
    </row>
    <row r="93" spans="1:52" x14ac:dyDescent="0.2">
      <c r="A93" s="47" t="s">
        <v>248</v>
      </c>
      <c r="B93" s="47"/>
      <c r="C93" s="48">
        <v>10</v>
      </c>
      <c r="D93" s="48">
        <v>37.1</v>
      </c>
      <c r="E93" s="48">
        <v>76.8</v>
      </c>
      <c r="F93" s="48">
        <v>3.5</v>
      </c>
      <c r="G93" s="48">
        <v>7.4</v>
      </c>
      <c r="H93" s="80">
        <f>'Fiber_Ash Inputs'!V66</f>
        <v>35.6</v>
      </c>
      <c r="I93" s="80">
        <f>'Fiber_Ash Inputs'!W66</f>
        <v>64.2</v>
      </c>
      <c r="J93" s="80">
        <f>'Fiber_Ash Inputs'!X66</f>
        <v>7.9</v>
      </c>
      <c r="K93" s="80">
        <f>'Fiber_Ash Inputs'!U66</f>
        <v>3</v>
      </c>
      <c r="L93" s="76">
        <f t="shared" si="15"/>
        <v>24.35079535546226</v>
      </c>
      <c r="M93" s="76">
        <f t="shared" si="16"/>
        <v>94.616843393682686</v>
      </c>
      <c r="N93" s="76">
        <f t="shared" si="17"/>
        <v>22.191011235955056</v>
      </c>
      <c r="O93" s="76">
        <f t="shared" si="18"/>
        <v>22.191011235955056</v>
      </c>
      <c r="P93" s="76">
        <f>(100*((LN((100-O93)-I93)-4.6052)/-'Fiber_Ash Inputs'!$D$17))*'Fiber_Ash Inputs'!$C$17</f>
        <v>7.3869240261072449</v>
      </c>
      <c r="Q93" s="76">
        <f t="shared" si="19"/>
        <v>58.830414718402729</v>
      </c>
      <c r="R93" s="76">
        <f>IF('Fiber_Ash Inputs'!$B$11=30,MILK2024_Imperial!I93,IF('Fiber_Ash Inputs'!$B$11=48,MILK2024_Imperial!I93*0.926))</f>
        <v>64.2</v>
      </c>
      <c r="S93" s="76">
        <f t="shared" si="20"/>
        <v>5.6980000000000004</v>
      </c>
      <c r="T93" s="76">
        <f t="shared" si="21"/>
        <v>1.7094</v>
      </c>
      <c r="U93" s="46">
        <f t="shared" si="22"/>
        <v>2.5</v>
      </c>
      <c r="V93" s="77">
        <f t="shared" si="23"/>
        <v>14.399999999999997</v>
      </c>
      <c r="W93" s="76">
        <f>((G93*0.3+MILK2024_Imperial!$J$22*0.7)/100)*MILK2024_Imperial!AT93</f>
        <v>4.5856445751997779</v>
      </c>
      <c r="X93" s="76">
        <f>((S93*0.3+MILK2024_Imperial!$L$22*0.7)/100)*MILK2024_Imperial!AT93</f>
        <v>2.8283731001045389</v>
      </c>
      <c r="Y93" s="76">
        <f>((T93*0.3+MILK2024_Imperial!$M$22*0.7)/100)*MILK2024_Imperial!AT93</f>
        <v>1.4298208821942155</v>
      </c>
      <c r="Z93" s="76">
        <f t="shared" si="24"/>
        <v>3.4787109692996374</v>
      </c>
      <c r="AA93" s="76">
        <f t="shared" si="25"/>
        <v>1.0436132907898912</v>
      </c>
      <c r="AB93" s="76">
        <f>AA93+MILK2024_Imperial!$U$32</f>
        <v>3.5106375837640469</v>
      </c>
      <c r="AC93" s="76">
        <f>($AC$10*0.2)/(MILK2024_Imperial!AT93)</f>
        <v>2.1952587200950457</v>
      </c>
      <c r="AD93" s="76">
        <f t="shared" si="26"/>
        <v>15.518325182771083</v>
      </c>
      <c r="AE93" s="76">
        <f t="shared" si="27"/>
        <v>3.2733558347128535</v>
      </c>
      <c r="AF93" s="46">
        <f>(AC93*MILK2024_Imperial!AT93)/1000</f>
        <v>6.0000000000000005E-2</v>
      </c>
      <c r="AG93" s="76">
        <f>(AD93*MILK2024_Imperial!AT93)/1000</f>
        <v>0.42414112853447733</v>
      </c>
      <c r="AH93" s="76">
        <f t="shared" si="28"/>
        <v>0.82301469114619663</v>
      </c>
      <c r="AI93" s="50">
        <f t="shared" si="29"/>
        <v>339.84845660228433</v>
      </c>
      <c r="AJ93" s="76">
        <f>(0.0146*AI93)/MILK2024_Imperial!AT93</f>
        <v>0.18154012004763848</v>
      </c>
      <c r="AK93" s="76">
        <f>(0.294*MILK2024_Imperial!AT93-0.347*(U93*0.3+MILK2024_Imperial!$U$17*0.7)+0.0409*(H93*0.3+$F$22*0.7))/MILK2024_Imperial!AT93</f>
        <v>0.28296826901575345</v>
      </c>
      <c r="AL93" s="76">
        <f t="shared" si="30"/>
        <v>2.8088474456494614</v>
      </c>
      <c r="AM93" s="76">
        <f t="shared" si="31"/>
        <v>1.8538393141286447</v>
      </c>
      <c r="AN93" s="76">
        <f t="shared" si="38"/>
        <v>33.538450980075311</v>
      </c>
      <c r="AO93" s="76">
        <f t="shared" si="32"/>
        <v>0.2972717251180757</v>
      </c>
      <c r="AP93" s="78">
        <f t="shared" si="33"/>
        <v>9.9700331806350047</v>
      </c>
      <c r="AQ93" s="78">
        <f t="shared" si="34"/>
        <v>0.8025160835789511</v>
      </c>
      <c r="AR93" s="78">
        <f t="shared" si="39"/>
        <v>13.473017811668925</v>
      </c>
      <c r="AS93" s="78">
        <f t="shared" si="35"/>
        <v>29.640639185671635</v>
      </c>
      <c r="AT93" s="78">
        <f t="shared" si="40"/>
        <v>27.331630413659056</v>
      </c>
      <c r="AU93" s="78">
        <f t="shared" si="36"/>
        <v>60.12958691004993</v>
      </c>
      <c r="AV93" s="78">
        <f t="shared" si="37"/>
        <v>18.038876073014979</v>
      </c>
      <c r="AW93" s="79">
        <f t="shared" si="41"/>
        <v>3286.3066485624522</v>
      </c>
      <c r="AX93" s="79">
        <f t="shared" si="42"/>
        <v>32863.06648562452</v>
      </c>
      <c r="AY93" s="30"/>
      <c r="AZ93" s="1"/>
    </row>
    <row r="94" spans="1:52" x14ac:dyDescent="0.2">
      <c r="A94" s="47" t="s">
        <v>249</v>
      </c>
      <c r="B94" s="47"/>
      <c r="C94" s="48">
        <v>10</v>
      </c>
      <c r="D94" s="48">
        <v>37.1</v>
      </c>
      <c r="E94" s="48">
        <v>76.8</v>
      </c>
      <c r="F94" s="48">
        <v>3.5</v>
      </c>
      <c r="G94" s="48">
        <v>7.4</v>
      </c>
      <c r="H94" s="80">
        <f>'Fiber_Ash Inputs'!V67</f>
        <v>35.6</v>
      </c>
      <c r="I94" s="80">
        <f>'Fiber_Ash Inputs'!W67</f>
        <v>64.2</v>
      </c>
      <c r="J94" s="80">
        <f>'Fiber_Ash Inputs'!X67</f>
        <v>7.9</v>
      </c>
      <c r="K94" s="80">
        <f>'Fiber_Ash Inputs'!U67</f>
        <v>3</v>
      </c>
      <c r="L94" s="76">
        <f t="shared" si="15"/>
        <v>24.35079535546226</v>
      </c>
      <c r="M94" s="76">
        <f t="shared" si="16"/>
        <v>94.616843393682686</v>
      </c>
      <c r="N94" s="76">
        <f t="shared" si="17"/>
        <v>22.191011235955056</v>
      </c>
      <c r="O94" s="76">
        <f t="shared" si="18"/>
        <v>22.191011235955056</v>
      </c>
      <c r="P94" s="76">
        <f>(100*((LN((100-O94)-I94)-4.6052)/-'Fiber_Ash Inputs'!$D$17))*'Fiber_Ash Inputs'!$C$17</f>
        <v>7.3869240261072449</v>
      </c>
      <c r="Q94" s="76">
        <f t="shared" si="19"/>
        <v>58.830414718402729</v>
      </c>
      <c r="R94" s="76">
        <f>IF('Fiber_Ash Inputs'!$B$11=30,MILK2024_Imperial!I94,IF('Fiber_Ash Inputs'!$B$11=48,MILK2024_Imperial!I94*0.926))</f>
        <v>64.2</v>
      </c>
      <c r="S94" s="76">
        <f t="shared" si="20"/>
        <v>5.6980000000000004</v>
      </c>
      <c r="T94" s="76">
        <f t="shared" si="21"/>
        <v>1.7094</v>
      </c>
      <c r="U94" s="46">
        <f t="shared" si="22"/>
        <v>2.5</v>
      </c>
      <c r="V94" s="77">
        <f t="shared" si="23"/>
        <v>14.399999999999997</v>
      </c>
      <c r="W94" s="76">
        <f>((G94*0.3+MILK2024_Imperial!$J$22*0.7)/100)*MILK2024_Imperial!AT94</f>
        <v>4.5856445751997779</v>
      </c>
      <c r="X94" s="76">
        <f>((S94*0.3+MILK2024_Imperial!$L$22*0.7)/100)*MILK2024_Imperial!AT94</f>
        <v>2.8283731001045389</v>
      </c>
      <c r="Y94" s="76">
        <f>((T94*0.3+MILK2024_Imperial!$M$22*0.7)/100)*MILK2024_Imperial!AT94</f>
        <v>1.4298208821942155</v>
      </c>
      <c r="Z94" s="76">
        <f t="shared" si="24"/>
        <v>3.4787109692996374</v>
      </c>
      <c r="AA94" s="76">
        <f t="shared" si="25"/>
        <v>1.0436132907898912</v>
      </c>
      <c r="AB94" s="76">
        <f>AA94+MILK2024_Imperial!$U$32</f>
        <v>3.5106375837640469</v>
      </c>
      <c r="AC94" s="76">
        <f>($AC$10*0.2)/(MILK2024_Imperial!AT94)</f>
        <v>2.1952587200950457</v>
      </c>
      <c r="AD94" s="76">
        <f t="shared" si="26"/>
        <v>15.518325182771083</v>
      </c>
      <c r="AE94" s="76">
        <f t="shared" si="27"/>
        <v>3.2733558347128535</v>
      </c>
      <c r="AF94" s="46">
        <f>(AC94*MILK2024_Imperial!AT94)/1000</f>
        <v>6.0000000000000005E-2</v>
      </c>
      <c r="AG94" s="76">
        <f>(AD94*MILK2024_Imperial!AT94)/1000</f>
        <v>0.42414112853447733</v>
      </c>
      <c r="AH94" s="76">
        <f t="shared" si="28"/>
        <v>0.82301469114619663</v>
      </c>
      <c r="AI94" s="50">
        <f t="shared" si="29"/>
        <v>339.84845660228433</v>
      </c>
      <c r="AJ94" s="76">
        <f>(0.0146*AI94)/MILK2024_Imperial!AT94</f>
        <v>0.18154012004763848</v>
      </c>
      <c r="AK94" s="76">
        <f>(0.294*MILK2024_Imperial!AT94-0.347*(U94*0.3+MILK2024_Imperial!$U$17*0.7)+0.0409*(H94*0.3+$F$22*0.7))/MILK2024_Imperial!AT94</f>
        <v>0.28296826901575345</v>
      </c>
      <c r="AL94" s="76">
        <f t="shared" si="30"/>
        <v>2.8088474456494614</v>
      </c>
      <c r="AM94" s="76">
        <f t="shared" si="31"/>
        <v>1.8538393141286447</v>
      </c>
      <c r="AN94" s="76">
        <f t="shared" si="38"/>
        <v>33.538450980075311</v>
      </c>
      <c r="AO94" s="76">
        <f t="shared" si="32"/>
        <v>0.2972717251180757</v>
      </c>
      <c r="AP94" s="78">
        <f t="shared" si="33"/>
        <v>9.9700331806350047</v>
      </c>
      <c r="AQ94" s="78">
        <f t="shared" si="34"/>
        <v>0.8025160835789511</v>
      </c>
      <c r="AR94" s="78">
        <f t="shared" si="39"/>
        <v>13.473017811668925</v>
      </c>
      <c r="AS94" s="78">
        <f t="shared" si="35"/>
        <v>29.640639185671635</v>
      </c>
      <c r="AT94" s="78">
        <f t="shared" si="40"/>
        <v>27.331630413659056</v>
      </c>
      <c r="AU94" s="78">
        <f t="shared" si="36"/>
        <v>60.12958691004993</v>
      </c>
      <c r="AV94" s="78">
        <f t="shared" si="37"/>
        <v>18.038876073014979</v>
      </c>
      <c r="AW94" s="79">
        <f t="shared" si="41"/>
        <v>3286.3066485624522</v>
      </c>
      <c r="AX94" s="79">
        <f t="shared" si="42"/>
        <v>32863.06648562452</v>
      </c>
      <c r="AY94" s="30"/>
      <c r="AZ94" s="1"/>
    </row>
    <row r="95" spans="1:52" x14ac:dyDescent="0.2">
      <c r="A95" s="47" t="s">
        <v>250</v>
      </c>
      <c r="B95" s="47"/>
      <c r="C95" s="48">
        <v>10</v>
      </c>
      <c r="D95" s="48">
        <v>37.1</v>
      </c>
      <c r="E95" s="48">
        <v>76.8</v>
      </c>
      <c r="F95" s="48">
        <v>3.5</v>
      </c>
      <c r="G95" s="48">
        <v>7.4</v>
      </c>
      <c r="H95" s="80">
        <f>'Fiber_Ash Inputs'!V68</f>
        <v>35.6</v>
      </c>
      <c r="I95" s="80">
        <f>'Fiber_Ash Inputs'!W68</f>
        <v>64.2</v>
      </c>
      <c r="J95" s="80">
        <f>'Fiber_Ash Inputs'!X68</f>
        <v>7.9</v>
      </c>
      <c r="K95" s="80">
        <f>'Fiber_Ash Inputs'!U68</f>
        <v>3</v>
      </c>
      <c r="L95" s="76">
        <f t="shared" si="15"/>
        <v>24.35079535546226</v>
      </c>
      <c r="M95" s="76">
        <f t="shared" si="16"/>
        <v>94.616843393682686</v>
      </c>
      <c r="N95" s="76">
        <f t="shared" si="17"/>
        <v>22.191011235955056</v>
      </c>
      <c r="O95" s="76">
        <f t="shared" si="18"/>
        <v>22.191011235955056</v>
      </c>
      <c r="P95" s="76">
        <f>(100*((LN((100-O95)-I95)-4.6052)/-'Fiber_Ash Inputs'!$D$17))*'Fiber_Ash Inputs'!$C$17</f>
        <v>7.3869240261072449</v>
      </c>
      <c r="Q95" s="76">
        <f t="shared" si="19"/>
        <v>58.830414718402729</v>
      </c>
      <c r="R95" s="76">
        <f>IF('Fiber_Ash Inputs'!$B$11=30,MILK2024_Imperial!I95,IF('Fiber_Ash Inputs'!$B$11=48,MILK2024_Imperial!I95*0.926))</f>
        <v>64.2</v>
      </c>
      <c r="S95" s="76">
        <f t="shared" si="20"/>
        <v>5.6980000000000004</v>
      </c>
      <c r="T95" s="76">
        <f t="shared" si="21"/>
        <v>1.7094</v>
      </c>
      <c r="U95" s="46">
        <f t="shared" si="22"/>
        <v>2.5</v>
      </c>
      <c r="V95" s="77">
        <f t="shared" si="23"/>
        <v>14.399999999999997</v>
      </c>
      <c r="W95" s="76">
        <f>((G95*0.3+MILK2024_Imperial!$J$22*0.7)/100)*MILK2024_Imperial!AT95</f>
        <v>4.5856445751997779</v>
      </c>
      <c r="X95" s="76">
        <f>((S95*0.3+MILK2024_Imperial!$L$22*0.7)/100)*MILK2024_Imperial!AT95</f>
        <v>2.8283731001045389</v>
      </c>
      <c r="Y95" s="76">
        <f>((T95*0.3+MILK2024_Imperial!$M$22*0.7)/100)*MILK2024_Imperial!AT95</f>
        <v>1.4298208821942155</v>
      </c>
      <c r="Z95" s="76">
        <f t="shared" si="24"/>
        <v>3.4787109692996374</v>
      </c>
      <c r="AA95" s="76">
        <f t="shared" si="25"/>
        <v>1.0436132907898912</v>
      </c>
      <c r="AB95" s="76">
        <f>AA95+MILK2024_Imperial!$U$32</f>
        <v>3.5106375837640469</v>
      </c>
      <c r="AC95" s="76">
        <f>($AC$10*0.2)/(MILK2024_Imperial!AT95)</f>
        <v>2.1952587200950457</v>
      </c>
      <c r="AD95" s="76">
        <f t="shared" si="26"/>
        <v>15.518325182771083</v>
      </c>
      <c r="AE95" s="76">
        <f t="shared" si="27"/>
        <v>3.2733558347128535</v>
      </c>
      <c r="AF95" s="46">
        <f>(AC95*MILK2024_Imperial!AT95)/1000</f>
        <v>6.0000000000000005E-2</v>
      </c>
      <c r="AG95" s="76">
        <f>(AD95*MILK2024_Imperial!AT95)/1000</f>
        <v>0.42414112853447733</v>
      </c>
      <c r="AH95" s="76">
        <f t="shared" si="28"/>
        <v>0.82301469114619663</v>
      </c>
      <c r="AI95" s="50">
        <f t="shared" si="29"/>
        <v>339.84845660228433</v>
      </c>
      <c r="AJ95" s="76">
        <f>(0.0146*AI95)/MILK2024_Imperial!AT95</f>
        <v>0.18154012004763848</v>
      </c>
      <c r="AK95" s="76">
        <f>(0.294*MILK2024_Imperial!AT95-0.347*(U95*0.3+MILK2024_Imperial!$U$17*0.7)+0.0409*(H95*0.3+$F$22*0.7))/MILK2024_Imperial!AT95</f>
        <v>0.28296826901575345</v>
      </c>
      <c r="AL95" s="76">
        <f t="shared" si="30"/>
        <v>2.8088474456494614</v>
      </c>
      <c r="AM95" s="76">
        <f t="shared" si="31"/>
        <v>1.8538393141286447</v>
      </c>
      <c r="AN95" s="76">
        <f t="shared" si="38"/>
        <v>33.538450980075311</v>
      </c>
      <c r="AO95" s="76">
        <f t="shared" si="32"/>
        <v>0.2972717251180757</v>
      </c>
      <c r="AP95" s="78">
        <f t="shared" si="33"/>
        <v>9.9700331806350047</v>
      </c>
      <c r="AQ95" s="78">
        <f t="shared" si="34"/>
        <v>0.8025160835789511</v>
      </c>
      <c r="AR95" s="78">
        <f t="shared" si="39"/>
        <v>13.473017811668925</v>
      </c>
      <c r="AS95" s="78">
        <f t="shared" si="35"/>
        <v>29.640639185671635</v>
      </c>
      <c r="AT95" s="78">
        <f t="shared" si="40"/>
        <v>27.331630413659056</v>
      </c>
      <c r="AU95" s="78">
        <f t="shared" si="36"/>
        <v>60.12958691004993</v>
      </c>
      <c r="AV95" s="78">
        <f t="shared" si="37"/>
        <v>18.038876073014979</v>
      </c>
      <c r="AW95" s="79">
        <f t="shared" si="41"/>
        <v>3286.3066485624522</v>
      </c>
      <c r="AX95" s="79">
        <f t="shared" si="42"/>
        <v>32863.06648562452</v>
      </c>
      <c r="AY95" s="30"/>
      <c r="AZ95" s="1"/>
    </row>
    <row r="96" spans="1:52" x14ac:dyDescent="0.2">
      <c r="A96" s="47" t="s">
        <v>251</v>
      </c>
      <c r="B96" s="47"/>
      <c r="C96" s="48">
        <v>10</v>
      </c>
      <c r="D96" s="48">
        <v>37.1</v>
      </c>
      <c r="E96" s="48">
        <v>76.8</v>
      </c>
      <c r="F96" s="48">
        <v>3.5</v>
      </c>
      <c r="G96" s="48">
        <v>7.4</v>
      </c>
      <c r="H96" s="80">
        <f>'Fiber_Ash Inputs'!V69</f>
        <v>35.6</v>
      </c>
      <c r="I96" s="80">
        <f>'Fiber_Ash Inputs'!W69</f>
        <v>64.2</v>
      </c>
      <c r="J96" s="80">
        <f>'Fiber_Ash Inputs'!X69</f>
        <v>7.9</v>
      </c>
      <c r="K96" s="80">
        <f>'Fiber_Ash Inputs'!U69</f>
        <v>3</v>
      </c>
      <c r="L96" s="76">
        <f t="shared" si="15"/>
        <v>24.35079535546226</v>
      </c>
      <c r="M96" s="76">
        <f t="shared" si="16"/>
        <v>94.616843393682686</v>
      </c>
      <c r="N96" s="76">
        <f t="shared" si="17"/>
        <v>22.191011235955056</v>
      </c>
      <c r="O96" s="76">
        <f t="shared" si="18"/>
        <v>22.191011235955056</v>
      </c>
      <c r="P96" s="76">
        <f>(100*((LN((100-O96)-I96)-4.6052)/-'Fiber_Ash Inputs'!$D$17))*'Fiber_Ash Inputs'!$C$17</f>
        <v>7.3869240261072449</v>
      </c>
      <c r="Q96" s="76">
        <f t="shared" si="19"/>
        <v>58.830414718402729</v>
      </c>
      <c r="R96" s="76">
        <f>IF('Fiber_Ash Inputs'!$B$11=30,MILK2024_Imperial!I96,IF('Fiber_Ash Inputs'!$B$11=48,MILK2024_Imperial!I96*0.926))</f>
        <v>64.2</v>
      </c>
      <c r="S96" s="76">
        <f t="shared" si="20"/>
        <v>5.6980000000000004</v>
      </c>
      <c r="T96" s="76">
        <f t="shared" si="21"/>
        <v>1.7094</v>
      </c>
      <c r="U96" s="46">
        <f t="shared" si="22"/>
        <v>2.5</v>
      </c>
      <c r="V96" s="77">
        <f t="shared" si="23"/>
        <v>14.399999999999997</v>
      </c>
      <c r="W96" s="76">
        <f>((G96*0.3+MILK2024_Imperial!$J$22*0.7)/100)*MILK2024_Imperial!AT96</f>
        <v>4.5856445751997779</v>
      </c>
      <c r="X96" s="76">
        <f>((S96*0.3+MILK2024_Imperial!$L$22*0.7)/100)*MILK2024_Imperial!AT96</f>
        <v>2.8283731001045389</v>
      </c>
      <c r="Y96" s="76">
        <f>((T96*0.3+MILK2024_Imperial!$M$22*0.7)/100)*MILK2024_Imperial!AT96</f>
        <v>1.4298208821942155</v>
      </c>
      <c r="Z96" s="76">
        <f t="shared" si="24"/>
        <v>3.4787109692996374</v>
      </c>
      <c r="AA96" s="76">
        <f t="shared" si="25"/>
        <v>1.0436132907898912</v>
      </c>
      <c r="AB96" s="76">
        <f>AA96+MILK2024_Imperial!$U$32</f>
        <v>3.5106375837640469</v>
      </c>
      <c r="AC96" s="76">
        <f>($AC$10*0.2)/(MILK2024_Imperial!AT96)</f>
        <v>2.1952587200950457</v>
      </c>
      <c r="AD96" s="76">
        <f t="shared" si="26"/>
        <v>15.518325182771083</v>
      </c>
      <c r="AE96" s="76">
        <f t="shared" si="27"/>
        <v>3.2733558347128535</v>
      </c>
      <c r="AF96" s="46">
        <f>(AC96*MILK2024_Imperial!AT96)/1000</f>
        <v>6.0000000000000005E-2</v>
      </c>
      <c r="AG96" s="76">
        <f>(AD96*MILK2024_Imperial!AT96)/1000</f>
        <v>0.42414112853447733</v>
      </c>
      <c r="AH96" s="76">
        <f t="shared" si="28"/>
        <v>0.82301469114619663</v>
      </c>
      <c r="AI96" s="50">
        <f t="shared" si="29"/>
        <v>339.84845660228433</v>
      </c>
      <c r="AJ96" s="76">
        <f>(0.0146*AI96)/MILK2024_Imperial!AT96</f>
        <v>0.18154012004763848</v>
      </c>
      <c r="AK96" s="76">
        <f>(0.294*MILK2024_Imperial!AT96-0.347*(U96*0.3+MILK2024_Imperial!$U$17*0.7)+0.0409*(H96*0.3+$F$22*0.7))/MILK2024_Imperial!AT96</f>
        <v>0.28296826901575345</v>
      </c>
      <c r="AL96" s="76">
        <f t="shared" si="30"/>
        <v>2.8088474456494614</v>
      </c>
      <c r="AM96" s="76">
        <f t="shared" si="31"/>
        <v>1.8538393141286447</v>
      </c>
      <c r="AN96" s="76">
        <f t="shared" si="38"/>
        <v>33.538450980075311</v>
      </c>
      <c r="AO96" s="76">
        <f t="shared" si="32"/>
        <v>0.2972717251180757</v>
      </c>
      <c r="AP96" s="78">
        <f t="shared" si="33"/>
        <v>9.9700331806350047</v>
      </c>
      <c r="AQ96" s="78">
        <f t="shared" si="34"/>
        <v>0.8025160835789511</v>
      </c>
      <c r="AR96" s="78">
        <f t="shared" si="39"/>
        <v>13.473017811668925</v>
      </c>
      <c r="AS96" s="78">
        <f t="shared" si="35"/>
        <v>29.640639185671635</v>
      </c>
      <c r="AT96" s="78">
        <f t="shared" si="40"/>
        <v>27.331630413659056</v>
      </c>
      <c r="AU96" s="78">
        <f t="shared" si="36"/>
        <v>60.12958691004993</v>
      </c>
      <c r="AV96" s="78">
        <f t="shared" si="37"/>
        <v>18.038876073014979</v>
      </c>
      <c r="AW96" s="79">
        <f t="shared" si="41"/>
        <v>3286.3066485624522</v>
      </c>
      <c r="AX96" s="79">
        <f t="shared" si="42"/>
        <v>32863.06648562452</v>
      </c>
      <c r="AY96" s="30"/>
      <c r="AZ96" s="1"/>
    </row>
    <row r="97" spans="1:52" x14ac:dyDescent="0.2">
      <c r="A97" s="47" t="s">
        <v>252</v>
      </c>
      <c r="B97" s="47"/>
      <c r="C97" s="48">
        <v>10</v>
      </c>
      <c r="D97" s="48">
        <v>37.1</v>
      </c>
      <c r="E97" s="48">
        <v>76.8</v>
      </c>
      <c r="F97" s="48">
        <v>3.5</v>
      </c>
      <c r="G97" s="48">
        <v>7.4</v>
      </c>
      <c r="H97" s="80">
        <f>'Fiber_Ash Inputs'!V70</f>
        <v>35.6</v>
      </c>
      <c r="I97" s="80">
        <f>'Fiber_Ash Inputs'!W70</f>
        <v>64.2</v>
      </c>
      <c r="J97" s="80">
        <f>'Fiber_Ash Inputs'!X70</f>
        <v>7.9</v>
      </c>
      <c r="K97" s="80">
        <f>'Fiber_Ash Inputs'!U70</f>
        <v>3</v>
      </c>
      <c r="L97" s="76">
        <f t="shared" si="15"/>
        <v>24.35079535546226</v>
      </c>
      <c r="M97" s="76">
        <f t="shared" si="16"/>
        <v>94.616843393682686</v>
      </c>
      <c r="N97" s="76">
        <f t="shared" si="17"/>
        <v>22.191011235955056</v>
      </c>
      <c r="O97" s="76">
        <f t="shared" si="18"/>
        <v>22.191011235955056</v>
      </c>
      <c r="P97" s="76">
        <f>(100*((LN((100-O97)-I97)-4.6052)/-'Fiber_Ash Inputs'!$D$17))*'Fiber_Ash Inputs'!$C$17</f>
        <v>7.3869240261072449</v>
      </c>
      <c r="Q97" s="76">
        <f t="shared" si="19"/>
        <v>58.830414718402729</v>
      </c>
      <c r="R97" s="76">
        <f>IF('Fiber_Ash Inputs'!$B$11=30,MILK2024_Imperial!I97,IF('Fiber_Ash Inputs'!$B$11=48,MILK2024_Imperial!I97*0.926))</f>
        <v>64.2</v>
      </c>
      <c r="S97" s="76">
        <f t="shared" si="20"/>
        <v>5.6980000000000004</v>
      </c>
      <c r="T97" s="76">
        <f t="shared" si="21"/>
        <v>1.7094</v>
      </c>
      <c r="U97" s="46">
        <f t="shared" si="22"/>
        <v>2.5</v>
      </c>
      <c r="V97" s="77">
        <f t="shared" si="23"/>
        <v>14.399999999999997</v>
      </c>
      <c r="W97" s="76">
        <f>((G97*0.3+MILK2024_Imperial!$J$22*0.7)/100)*MILK2024_Imperial!AT97</f>
        <v>4.5856445751997779</v>
      </c>
      <c r="X97" s="76">
        <f>((S97*0.3+MILK2024_Imperial!$L$22*0.7)/100)*MILK2024_Imperial!AT97</f>
        <v>2.8283731001045389</v>
      </c>
      <c r="Y97" s="76">
        <f>((T97*0.3+MILK2024_Imperial!$M$22*0.7)/100)*MILK2024_Imperial!AT97</f>
        <v>1.4298208821942155</v>
      </c>
      <c r="Z97" s="76">
        <f t="shared" si="24"/>
        <v>3.4787109692996374</v>
      </c>
      <c r="AA97" s="76">
        <f t="shared" si="25"/>
        <v>1.0436132907898912</v>
      </c>
      <c r="AB97" s="76">
        <f>AA97+MILK2024_Imperial!$U$32</f>
        <v>3.5106375837640469</v>
      </c>
      <c r="AC97" s="76">
        <f>($AC$10*0.2)/(MILK2024_Imperial!AT97)</f>
        <v>2.1952587200950457</v>
      </c>
      <c r="AD97" s="76">
        <f t="shared" si="26"/>
        <v>15.518325182771083</v>
      </c>
      <c r="AE97" s="76">
        <f t="shared" si="27"/>
        <v>3.2733558347128535</v>
      </c>
      <c r="AF97" s="46">
        <f>(AC97*MILK2024_Imperial!AT97)/1000</f>
        <v>6.0000000000000005E-2</v>
      </c>
      <c r="AG97" s="76">
        <f>(AD97*MILK2024_Imperial!AT97)/1000</f>
        <v>0.42414112853447733</v>
      </c>
      <c r="AH97" s="76">
        <f t="shared" si="28"/>
        <v>0.82301469114619663</v>
      </c>
      <c r="AI97" s="50">
        <f t="shared" si="29"/>
        <v>339.84845660228433</v>
      </c>
      <c r="AJ97" s="76">
        <f>(0.0146*AI97)/MILK2024_Imperial!AT97</f>
        <v>0.18154012004763848</v>
      </c>
      <c r="AK97" s="76">
        <f>(0.294*MILK2024_Imperial!AT97-0.347*(U97*0.3+MILK2024_Imperial!$U$17*0.7)+0.0409*(H97*0.3+$F$22*0.7))/MILK2024_Imperial!AT97</f>
        <v>0.28296826901575345</v>
      </c>
      <c r="AL97" s="76">
        <f t="shared" si="30"/>
        <v>2.8088474456494614</v>
      </c>
      <c r="AM97" s="76">
        <f t="shared" si="31"/>
        <v>1.8538393141286447</v>
      </c>
      <c r="AN97" s="76">
        <f t="shared" si="38"/>
        <v>33.538450980075311</v>
      </c>
      <c r="AO97" s="76">
        <f t="shared" si="32"/>
        <v>0.2972717251180757</v>
      </c>
      <c r="AP97" s="78">
        <f t="shared" si="33"/>
        <v>9.9700331806350047</v>
      </c>
      <c r="AQ97" s="78">
        <f t="shared" si="34"/>
        <v>0.8025160835789511</v>
      </c>
      <c r="AR97" s="78">
        <f t="shared" si="39"/>
        <v>13.473017811668925</v>
      </c>
      <c r="AS97" s="78">
        <f t="shared" si="35"/>
        <v>29.640639185671635</v>
      </c>
      <c r="AT97" s="78">
        <f t="shared" si="40"/>
        <v>27.331630413659056</v>
      </c>
      <c r="AU97" s="78">
        <f t="shared" si="36"/>
        <v>60.12958691004993</v>
      </c>
      <c r="AV97" s="78">
        <f t="shared" si="37"/>
        <v>18.038876073014979</v>
      </c>
      <c r="AW97" s="79">
        <f t="shared" si="41"/>
        <v>3286.3066485624522</v>
      </c>
      <c r="AX97" s="79">
        <f t="shared" si="42"/>
        <v>32863.06648562452</v>
      </c>
      <c r="AY97" s="30"/>
      <c r="AZ97" s="1"/>
    </row>
    <row r="98" spans="1:52" x14ac:dyDescent="0.2">
      <c r="A98" s="47" t="s">
        <v>253</v>
      </c>
      <c r="B98" s="47"/>
      <c r="C98" s="48">
        <v>10</v>
      </c>
      <c r="D98" s="48">
        <v>37.1</v>
      </c>
      <c r="E98" s="48">
        <v>76.8</v>
      </c>
      <c r="F98" s="48">
        <v>3.5</v>
      </c>
      <c r="G98" s="48">
        <v>7.4</v>
      </c>
      <c r="H98" s="80">
        <f>'Fiber_Ash Inputs'!V71</f>
        <v>35.6</v>
      </c>
      <c r="I98" s="80">
        <f>'Fiber_Ash Inputs'!W71</f>
        <v>64.2</v>
      </c>
      <c r="J98" s="80">
        <f>'Fiber_Ash Inputs'!X71</f>
        <v>7.9</v>
      </c>
      <c r="K98" s="80">
        <f>'Fiber_Ash Inputs'!U71</f>
        <v>3</v>
      </c>
      <c r="L98" s="76">
        <f t="shared" si="15"/>
        <v>24.35079535546226</v>
      </c>
      <c r="M98" s="76">
        <f t="shared" si="16"/>
        <v>94.616843393682686</v>
      </c>
      <c r="N98" s="76">
        <f t="shared" si="17"/>
        <v>22.191011235955056</v>
      </c>
      <c r="O98" s="76">
        <f t="shared" si="18"/>
        <v>22.191011235955056</v>
      </c>
      <c r="P98" s="76">
        <f>(100*((LN((100-O98)-I98)-4.6052)/-'Fiber_Ash Inputs'!$D$17))*'Fiber_Ash Inputs'!$C$17</f>
        <v>7.3869240261072449</v>
      </c>
      <c r="Q98" s="76">
        <f t="shared" si="19"/>
        <v>58.830414718402729</v>
      </c>
      <c r="R98" s="76">
        <f>IF('Fiber_Ash Inputs'!$B$11=30,MILK2024_Imperial!I98,IF('Fiber_Ash Inputs'!$B$11=48,MILK2024_Imperial!I98*0.926))</f>
        <v>64.2</v>
      </c>
      <c r="S98" s="76">
        <f t="shared" si="20"/>
        <v>5.6980000000000004</v>
      </c>
      <c r="T98" s="76">
        <f t="shared" si="21"/>
        <v>1.7094</v>
      </c>
      <c r="U98" s="46">
        <f t="shared" si="22"/>
        <v>2.5</v>
      </c>
      <c r="V98" s="77">
        <f t="shared" si="23"/>
        <v>14.399999999999997</v>
      </c>
      <c r="W98" s="76">
        <f>((G98*0.3+MILK2024_Imperial!$J$22*0.7)/100)*MILK2024_Imperial!AT98</f>
        <v>4.5856445751997779</v>
      </c>
      <c r="X98" s="76">
        <f>((S98*0.3+MILK2024_Imperial!$L$22*0.7)/100)*MILK2024_Imperial!AT98</f>
        <v>2.8283731001045389</v>
      </c>
      <c r="Y98" s="76">
        <f>((T98*0.3+MILK2024_Imperial!$M$22*0.7)/100)*MILK2024_Imperial!AT98</f>
        <v>1.4298208821942155</v>
      </c>
      <c r="Z98" s="76">
        <f t="shared" si="24"/>
        <v>3.4787109692996374</v>
      </c>
      <c r="AA98" s="76">
        <f t="shared" si="25"/>
        <v>1.0436132907898912</v>
      </c>
      <c r="AB98" s="76">
        <f>AA98+MILK2024_Imperial!$U$32</f>
        <v>3.5106375837640469</v>
      </c>
      <c r="AC98" s="76">
        <f>($AC$10*0.2)/(MILK2024_Imperial!AT98)</f>
        <v>2.1952587200950457</v>
      </c>
      <c r="AD98" s="76">
        <f t="shared" si="26"/>
        <v>15.518325182771083</v>
      </c>
      <c r="AE98" s="76">
        <f t="shared" si="27"/>
        <v>3.2733558347128535</v>
      </c>
      <c r="AF98" s="46">
        <f>(AC98*MILK2024_Imperial!AT98)/1000</f>
        <v>6.0000000000000005E-2</v>
      </c>
      <c r="AG98" s="76">
        <f>(AD98*MILK2024_Imperial!AT98)/1000</f>
        <v>0.42414112853447733</v>
      </c>
      <c r="AH98" s="76">
        <f t="shared" si="28"/>
        <v>0.82301469114619663</v>
      </c>
      <c r="AI98" s="50">
        <f t="shared" si="29"/>
        <v>339.84845660228433</v>
      </c>
      <c r="AJ98" s="76">
        <f>(0.0146*AI98)/MILK2024_Imperial!AT98</f>
        <v>0.18154012004763848</v>
      </c>
      <c r="AK98" s="76">
        <f>(0.294*MILK2024_Imperial!AT98-0.347*(U98*0.3+MILK2024_Imperial!$U$17*0.7)+0.0409*(H98*0.3+$F$22*0.7))/MILK2024_Imperial!AT98</f>
        <v>0.28296826901575345</v>
      </c>
      <c r="AL98" s="76">
        <f t="shared" si="30"/>
        <v>2.8088474456494614</v>
      </c>
      <c r="AM98" s="76">
        <f t="shared" si="31"/>
        <v>1.8538393141286447</v>
      </c>
      <c r="AN98" s="76">
        <f t="shared" si="38"/>
        <v>33.538450980075311</v>
      </c>
      <c r="AO98" s="76">
        <f t="shared" si="32"/>
        <v>0.2972717251180757</v>
      </c>
      <c r="AP98" s="78">
        <f t="shared" si="33"/>
        <v>9.9700331806350047</v>
      </c>
      <c r="AQ98" s="78">
        <f t="shared" si="34"/>
        <v>0.8025160835789511</v>
      </c>
      <c r="AR98" s="78">
        <f t="shared" si="39"/>
        <v>13.473017811668925</v>
      </c>
      <c r="AS98" s="78">
        <f t="shared" si="35"/>
        <v>29.640639185671635</v>
      </c>
      <c r="AT98" s="78">
        <f t="shared" si="40"/>
        <v>27.331630413659056</v>
      </c>
      <c r="AU98" s="78">
        <f t="shared" si="36"/>
        <v>60.12958691004993</v>
      </c>
      <c r="AV98" s="78">
        <f t="shared" si="37"/>
        <v>18.038876073014979</v>
      </c>
      <c r="AW98" s="79">
        <f t="shared" si="41"/>
        <v>3286.3066485624522</v>
      </c>
      <c r="AX98" s="79">
        <f t="shared" si="42"/>
        <v>32863.06648562452</v>
      </c>
      <c r="AY98" s="30"/>
      <c r="AZ98" s="1"/>
    </row>
    <row r="99" spans="1:52" x14ac:dyDescent="0.2">
      <c r="A99" s="47" t="s">
        <v>254</v>
      </c>
      <c r="B99" s="47"/>
      <c r="C99" s="48">
        <v>10</v>
      </c>
      <c r="D99" s="48">
        <v>37.1</v>
      </c>
      <c r="E99" s="48">
        <v>76.8</v>
      </c>
      <c r="F99" s="48">
        <v>3.5</v>
      </c>
      <c r="G99" s="48">
        <v>7.4</v>
      </c>
      <c r="H99" s="80">
        <f>'Fiber_Ash Inputs'!V72</f>
        <v>35.6</v>
      </c>
      <c r="I99" s="80">
        <f>'Fiber_Ash Inputs'!W72</f>
        <v>64.2</v>
      </c>
      <c r="J99" s="80">
        <f>'Fiber_Ash Inputs'!X72</f>
        <v>7.9</v>
      </c>
      <c r="K99" s="80">
        <f>'Fiber_Ash Inputs'!U72</f>
        <v>3</v>
      </c>
      <c r="L99" s="76">
        <f t="shared" si="15"/>
        <v>24.35079535546226</v>
      </c>
      <c r="M99" s="76">
        <f t="shared" si="16"/>
        <v>94.616843393682686</v>
      </c>
      <c r="N99" s="76">
        <f t="shared" si="17"/>
        <v>22.191011235955056</v>
      </c>
      <c r="O99" s="76">
        <f t="shared" si="18"/>
        <v>22.191011235955056</v>
      </c>
      <c r="P99" s="76">
        <f>(100*((LN((100-O99)-I99)-4.6052)/-'Fiber_Ash Inputs'!$D$17))*'Fiber_Ash Inputs'!$C$17</f>
        <v>7.3869240261072449</v>
      </c>
      <c r="Q99" s="76">
        <f t="shared" si="19"/>
        <v>58.830414718402729</v>
      </c>
      <c r="R99" s="76">
        <f>IF('Fiber_Ash Inputs'!$B$11=30,MILK2024_Imperial!I99,IF('Fiber_Ash Inputs'!$B$11=48,MILK2024_Imperial!I99*0.926))</f>
        <v>64.2</v>
      </c>
      <c r="S99" s="76">
        <f t="shared" si="20"/>
        <v>5.6980000000000004</v>
      </c>
      <c r="T99" s="76">
        <f t="shared" si="21"/>
        <v>1.7094</v>
      </c>
      <c r="U99" s="46">
        <f t="shared" si="22"/>
        <v>2.5</v>
      </c>
      <c r="V99" s="77">
        <f t="shared" si="23"/>
        <v>14.399999999999997</v>
      </c>
      <c r="W99" s="76">
        <f>((G99*0.3+MILK2024_Imperial!$J$22*0.7)/100)*MILK2024_Imperial!AT99</f>
        <v>4.5856445751997779</v>
      </c>
      <c r="X99" s="76">
        <f>((S99*0.3+MILK2024_Imperial!$L$22*0.7)/100)*MILK2024_Imperial!AT99</f>
        <v>2.8283731001045389</v>
      </c>
      <c r="Y99" s="76">
        <f>((T99*0.3+MILK2024_Imperial!$M$22*0.7)/100)*MILK2024_Imperial!AT99</f>
        <v>1.4298208821942155</v>
      </c>
      <c r="Z99" s="76">
        <f t="shared" si="24"/>
        <v>3.4787109692996374</v>
      </c>
      <c r="AA99" s="76">
        <f t="shared" si="25"/>
        <v>1.0436132907898912</v>
      </c>
      <c r="AB99" s="76">
        <f>AA99+MILK2024_Imperial!$U$32</f>
        <v>3.5106375837640469</v>
      </c>
      <c r="AC99" s="76">
        <f>($AC$10*0.2)/(MILK2024_Imperial!AT99)</f>
        <v>2.1952587200950457</v>
      </c>
      <c r="AD99" s="76">
        <f t="shared" si="26"/>
        <v>15.518325182771083</v>
      </c>
      <c r="AE99" s="76">
        <f t="shared" si="27"/>
        <v>3.2733558347128535</v>
      </c>
      <c r="AF99" s="46">
        <f>(AC99*MILK2024_Imperial!AT99)/1000</f>
        <v>6.0000000000000005E-2</v>
      </c>
      <c r="AG99" s="76">
        <f>(AD99*MILK2024_Imperial!AT99)/1000</f>
        <v>0.42414112853447733</v>
      </c>
      <c r="AH99" s="76">
        <f t="shared" si="28"/>
        <v>0.82301469114619663</v>
      </c>
      <c r="AI99" s="50">
        <f t="shared" si="29"/>
        <v>339.84845660228433</v>
      </c>
      <c r="AJ99" s="76">
        <f>(0.0146*AI99)/MILK2024_Imperial!AT99</f>
        <v>0.18154012004763848</v>
      </c>
      <c r="AK99" s="76">
        <f>(0.294*MILK2024_Imperial!AT99-0.347*(U99*0.3+MILK2024_Imperial!$U$17*0.7)+0.0409*(H99*0.3+$F$22*0.7))/MILK2024_Imperial!AT99</f>
        <v>0.28296826901575345</v>
      </c>
      <c r="AL99" s="76">
        <f t="shared" si="30"/>
        <v>2.8088474456494614</v>
      </c>
      <c r="AM99" s="76">
        <f t="shared" si="31"/>
        <v>1.8538393141286447</v>
      </c>
      <c r="AN99" s="76">
        <f t="shared" si="38"/>
        <v>33.538450980075311</v>
      </c>
      <c r="AO99" s="76">
        <f t="shared" si="32"/>
        <v>0.2972717251180757</v>
      </c>
      <c r="AP99" s="78">
        <f t="shared" si="33"/>
        <v>9.9700331806350047</v>
      </c>
      <c r="AQ99" s="78">
        <f t="shared" si="34"/>
        <v>0.8025160835789511</v>
      </c>
      <c r="AR99" s="78">
        <f t="shared" si="39"/>
        <v>13.473017811668925</v>
      </c>
      <c r="AS99" s="78">
        <f t="shared" si="35"/>
        <v>29.640639185671635</v>
      </c>
      <c r="AT99" s="78">
        <f t="shared" si="40"/>
        <v>27.331630413659056</v>
      </c>
      <c r="AU99" s="78">
        <f t="shared" si="36"/>
        <v>60.12958691004993</v>
      </c>
      <c r="AV99" s="78">
        <f t="shared" si="37"/>
        <v>18.038876073014979</v>
      </c>
      <c r="AW99" s="79">
        <f t="shared" si="41"/>
        <v>3286.3066485624522</v>
      </c>
      <c r="AX99" s="79">
        <f t="shared" si="42"/>
        <v>32863.06648562452</v>
      </c>
      <c r="AY99" s="30"/>
      <c r="AZ99" s="1"/>
    </row>
    <row r="100" spans="1:52" x14ac:dyDescent="0.2">
      <c r="A100" s="47" t="s">
        <v>255</v>
      </c>
      <c r="B100" s="47"/>
      <c r="C100" s="48">
        <v>10</v>
      </c>
      <c r="D100" s="48">
        <v>37.1</v>
      </c>
      <c r="E100" s="48">
        <v>76.8</v>
      </c>
      <c r="F100" s="48">
        <v>3.5</v>
      </c>
      <c r="G100" s="48">
        <v>7.4</v>
      </c>
      <c r="H100" s="80">
        <f>'Fiber_Ash Inputs'!V73</f>
        <v>35.6</v>
      </c>
      <c r="I100" s="80">
        <f>'Fiber_Ash Inputs'!W73</f>
        <v>64.2</v>
      </c>
      <c r="J100" s="80">
        <f>'Fiber_Ash Inputs'!X73</f>
        <v>7.9</v>
      </c>
      <c r="K100" s="80">
        <f>'Fiber_Ash Inputs'!U73</f>
        <v>3</v>
      </c>
      <c r="L100" s="76">
        <f t="shared" si="15"/>
        <v>24.35079535546226</v>
      </c>
      <c r="M100" s="76">
        <f t="shared" si="16"/>
        <v>94.616843393682686</v>
      </c>
      <c r="N100" s="76">
        <f t="shared" si="17"/>
        <v>22.191011235955056</v>
      </c>
      <c r="O100" s="76">
        <f t="shared" si="18"/>
        <v>22.191011235955056</v>
      </c>
      <c r="P100" s="76">
        <f>(100*((LN((100-O100)-I100)-4.6052)/-'Fiber_Ash Inputs'!$D$17))*'Fiber_Ash Inputs'!$C$17</f>
        <v>7.3869240261072449</v>
      </c>
      <c r="Q100" s="76">
        <f t="shared" si="19"/>
        <v>58.830414718402729</v>
      </c>
      <c r="R100" s="76">
        <f>IF('Fiber_Ash Inputs'!$B$11=30,MILK2024_Imperial!I100,IF('Fiber_Ash Inputs'!$B$11=48,MILK2024_Imperial!I100*0.926))</f>
        <v>64.2</v>
      </c>
      <c r="S100" s="76">
        <f t="shared" si="20"/>
        <v>5.6980000000000004</v>
      </c>
      <c r="T100" s="76">
        <f t="shared" si="21"/>
        <v>1.7094</v>
      </c>
      <c r="U100" s="46">
        <f t="shared" si="22"/>
        <v>2.5</v>
      </c>
      <c r="V100" s="77">
        <f t="shared" si="23"/>
        <v>14.399999999999997</v>
      </c>
      <c r="W100" s="76">
        <f>((G100*0.3+MILK2024_Imperial!$J$22*0.7)/100)*MILK2024_Imperial!AT100</f>
        <v>4.5856445751997779</v>
      </c>
      <c r="X100" s="76">
        <f>((S100*0.3+MILK2024_Imperial!$L$22*0.7)/100)*MILK2024_Imperial!AT100</f>
        <v>2.8283731001045389</v>
      </c>
      <c r="Y100" s="76">
        <f>((T100*0.3+MILK2024_Imperial!$M$22*0.7)/100)*MILK2024_Imperial!AT100</f>
        <v>1.4298208821942155</v>
      </c>
      <c r="Z100" s="76">
        <f t="shared" si="24"/>
        <v>3.4787109692996374</v>
      </c>
      <c r="AA100" s="76">
        <f t="shared" si="25"/>
        <v>1.0436132907898912</v>
      </c>
      <c r="AB100" s="76">
        <f>AA100+MILK2024_Imperial!$U$32</f>
        <v>3.5106375837640469</v>
      </c>
      <c r="AC100" s="76">
        <f>($AC$10*0.2)/(MILK2024_Imperial!AT100)</f>
        <v>2.1952587200950457</v>
      </c>
      <c r="AD100" s="76">
        <f t="shared" si="26"/>
        <v>15.518325182771083</v>
      </c>
      <c r="AE100" s="76">
        <f t="shared" si="27"/>
        <v>3.2733558347128535</v>
      </c>
      <c r="AF100" s="46">
        <f>(AC100*MILK2024_Imperial!AT100)/1000</f>
        <v>6.0000000000000005E-2</v>
      </c>
      <c r="AG100" s="76">
        <f>(AD100*MILK2024_Imperial!AT100)/1000</f>
        <v>0.42414112853447733</v>
      </c>
      <c r="AH100" s="76">
        <f t="shared" si="28"/>
        <v>0.82301469114619663</v>
      </c>
      <c r="AI100" s="50">
        <f t="shared" si="29"/>
        <v>339.84845660228433</v>
      </c>
      <c r="AJ100" s="76">
        <f>(0.0146*AI100)/MILK2024_Imperial!AT100</f>
        <v>0.18154012004763848</v>
      </c>
      <c r="AK100" s="76">
        <f>(0.294*MILK2024_Imperial!AT100-0.347*(U100*0.3+MILK2024_Imperial!$U$17*0.7)+0.0409*(H100*0.3+$F$22*0.7))/MILK2024_Imperial!AT100</f>
        <v>0.28296826901575345</v>
      </c>
      <c r="AL100" s="76">
        <f t="shared" si="30"/>
        <v>2.8088474456494614</v>
      </c>
      <c r="AM100" s="76">
        <f t="shared" si="31"/>
        <v>1.8538393141286447</v>
      </c>
      <c r="AN100" s="76">
        <f t="shared" si="38"/>
        <v>33.538450980075311</v>
      </c>
      <c r="AO100" s="76">
        <f t="shared" si="32"/>
        <v>0.2972717251180757</v>
      </c>
      <c r="AP100" s="78">
        <f t="shared" si="33"/>
        <v>9.9700331806350047</v>
      </c>
      <c r="AQ100" s="78">
        <f t="shared" si="34"/>
        <v>0.8025160835789511</v>
      </c>
      <c r="AR100" s="78">
        <f t="shared" si="39"/>
        <v>13.473017811668925</v>
      </c>
      <c r="AS100" s="78">
        <f t="shared" si="35"/>
        <v>29.640639185671635</v>
      </c>
      <c r="AT100" s="78">
        <f t="shared" si="40"/>
        <v>27.331630413659056</v>
      </c>
      <c r="AU100" s="78">
        <f t="shared" si="36"/>
        <v>60.12958691004993</v>
      </c>
      <c r="AV100" s="78">
        <f t="shared" si="37"/>
        <v>18.038876073014979</v>
      </c>
      <c r="AW100" s="79">
        <f t="shared" si="41"/>
        <v>3286.3066485624522</v>
      </c>
      <c r="AX100" s="79">
        <f t="shared" si="42"/>
        <v>32863.06648562452</v>
      </c>
      <c r="AY100" s="30"/>
      <c r="AZ100" s="1"/>
    </row>
    <row r="101" spans="1:52" x14ac:dyDescent="0.2">
      <c r="A101" s="47" t="s">
        <v>256</v>
      </c>
      <c r="B101" s="47"/>
      <c r="C101" s="48">
        <v>10</v>
      </c>
      <c r="D101" s="48">
        <v>37.1</v>
      </c>
      <c r="E101" s="48">
        <v>76.8</v>
      </c>
      <c r="F101" s="48">
        <v>3.5</v>
      </c>
      <c r="G101" s="48">
        <v>7.4</v>
      </c>
      <c r="H101" s="80">
        <f>'Fiber_Ash Inputs'!V74</f>
        <v>35.6</v>
      </c>
      <c r="I101" s="80">
        <f>'Fiber_Ash Inputs'!W74</f>
        <v>64.2</v>
      </c>
      <c r="J101" s="80">
        <f>'Fiber_Ash Inputs'!X74</f>
        <v>7.9</v>
      </c>
      <c r="K101" s="80">
        <f>'Fiber_Ash Inputs'!U74</f>
        <v>3</v>
      </c>
      <c r="L101" s="76">
        <f t="shared" si="15"/>
        <v>24.35079535546226</v>
      </c>
      <c r="M101" s="76">
        <f t="shared" si="16"/>
        <v>94.616843393682686</v>
      </c>
      <c r="N101" s="76">
        <f t="shared" si="17"/>
        <v>22.191011235955056</v>
      </c>
      <c r="O101" s="76">
        <f t="shared" si="18"/>
        <v>22.191011235955056</v>
      </c>
      <c r="P101" s="76">
        <f>(100*((LN((100-O101)-I101)-4.6052)/-'Fiber_Ash Inputs'!$D$17))*'Fiber_Ash Inputs'!$C$17</f>
        <v>7.3869240261072449</v>
      </c>
      <c r="Q101" s="76">
        <f t="shared" si="19"/>
        <v>58.830414718402729</v>
      </c>
      <c r="R101" s="76">
        <f>IF('Fiber_Ash Inputs'!$B$11=30,MILK2024_Imperial!I101,IF('Fiber_Ash Inputs'!$B$11=48,MILK2024_Imperial!I101*0.926))</f>
        <v>64.2</v>
      </c>
      <c r="S101" s="76">
        <f t="shared" si="20"/>
        <v>5.6980000000000004</v>
      </c>
      <c r="T101" s="76">
        <f t="shared" si="21"/>
        <v>1.7094</v>
      </c>
      <c r="U101" s="46">
        <f t="shared" si="22"/>
        <v>2.5</v>
      </c>
      <c r="V101" s="77">
        <f t="shared" si="23"/>
        <v>14.399999999999997</v>
      </c>
      <c r="W101" s="76">
        <f>((G101*0.3+MILK2024_Imperial!$J$22*0.7)/100)*MILK2024_Imperial!AT101</f>
        <v>4.5856445751997779</v>
      </c>
      <c r="X101" s="76">
        <f>((S101*0.3+MILK2024_Imperial!$L$22*0.7)/100)*MILK2024_Imperial!AT101</f>
        <v>2.8283731001045389</v>
      </c>
      <c r="Y101" s="76">
        <f>((T101*0.3+MILK2024_Imperial!$M$22*0.7)/100)*MILK2024_Imperial!AT101</f>
        <v>1.4298208821942155</v>
      </c>
      <c r="Z101" s="76">
        <f t="shared" si="24"/>
        <v>3.4787109692996374</v>
      </c>
      <c r="AA101" s="76">
        <f t="shared" si="25"/>
        <v>1.0436132907898912</v>
      </c>
      <c r="AB101" s="76">
        <f>AA101+MILK2024_Imperial!$U$32</f>
        <v>3.5106375837640469</v>
      </c>
      <c r="AC101" s="76">
        <f>($AC$10*0.2)/(MILK2024_Imperial!AT101)</f>
        <v>2.1952587200950457</v>
      </c>
      <c r="AD101" s="76">
        <f t="shared" si="26"/>
        <v>15.518325182771083</v>
      </c>
      <c r="AE101" s="76">
        <f t="shared" si="27"/>
        <v>3.2733558347128535</v>
      </c>
      <c r="AF101" s="46">
        <f>(AC101*MILK2024_Imperial!AT101)/1000</f>
        <v>6.0000000000000005E-2</v>
      </c>
      <c r="AG101" s="76">
        <f>(AD101*MILK2024_Imperial!AT101)/1000</f>
        <v>0.42414112853447733</v>
      </c>
      <c r="AH101" s="76">
        <f t="shared" si="28"/>
        <v>0.82301469114619663</v>
      </c>
      <c r="AI101" s="50">
        <f t="shared" si="29"/>
        <v>339.84845660228433</v>
      </c>
      <c r="AJ101" s="76">
        <f>(0.0146*AI101)/MILK2024_Imperial!AT101</f>
        <v>0.18154012004763848</v>
      </c>
      <c r="AK101" s="76">
        <f>(0.294*MILK2024_Imperial!AT101-0.347*(U101*0.3+MILK2024_Imperial!$U$17*0.7)+0.0409*(H101*0.3+$F$22*0.7))/MILK2024_Imperial!AT101</f>
        <v>0.28296826901575345</v>
      </c>
      <c r="AL101" s="76">
        <f t="shared" si="30"/>
        <v>2.8088474456494614</v>
      </c>
      <c r="AM101" s="76">
        <f t="shared" si="31"/>
        <v>1.8538393141286447</v>
      </c>
      <c r="AN101" s="76">
        <f t="shared" si="38"/>
        <v>33.538450980075311</v>
      </c>
      <c r="AO101" s="76">
        <f t="shared" si="32"/>
        <v>0.2972717251180757</v>
      </c>
      <c r="AP101" s="78">
        <f t="shared" si="33"/>
        <v>9.9700331806350047</v>
      </c>
      <c r="AQ101" s="78">
        <f t="shared" si="34"/>
        <v>0.8025160835789511</v>
      </c>
      <c r="AR101" s="78">
        <f t="shared" si="39"/>
        <v>13.473017811668925</v>
      </c>
      <c r="AS101" s="78">
        <f t="shared" si="35"/>
        <v>29.640639185671635</v>
      </c>
      <c r="AT101" s="78">
        <f t="shared" si="40"/>
        <v>27.331630413659056</v>
      </c>
      <c r="AU101" s="78">
        <f t="shared" si="36"/>
        <v>60.12958691004993</v>
      </c>
      <c r="AV101" s="78">
        <f t="shared" si="37"/>
        <v>18.038876073014979</v>
      </c>
      <c r="AW101" s="79">
        <f t="shared" si="41"/>
        <v>3286.3066485624522</v>
      </c>
      <c r="AX101" s="79">
        <f t="shared" si="42"/>
        <v>32863.06648562452</v>
      </c>
      <c r="AY101" s="30"/>
      <c r="AZ101" s="1"/>
    </row>
    <row r="102" spans="1:52" x14ac:dyDescent="0.2">
      <c r="A102" s="47" t="s">
        <v>257</v>
      </c>
      <c r="B102" s="47"/>
      <c r="C102" s="48">
        <v>10</v>
      </c>
      <c r="D102" s="48">
        <v>37.1</v>
      </c>
      <c r="E102" s="48">
        <v>76.8</v>
      </c>
      <c r="F102" s="48">
        <v>3.5</v>
      </c>
      <c r="G102" s="48">
        <v>7.4</v>
      </c>
      <c r="H102" s="80">
        <f>'Fiber_Ash Inputs'!V75</f>
        <v>35.6</v>
      </c>
      <c r="I102" s="80">
        <f>'Fiber_Ash Inputs'!W75</f>
        <v>64.2</v>
      </c>
      <c r="J102" s="80">
        <f>'Fiber_Ash Inputs'!X75</f>
        <v>7.9</v>
      </c>
      <c r="K102" s="80">
        <f>'Fiber_Ash Inputs'!U75</f>
        <v>3</v>
      </c>
      <c r="L102" s="76">
        <f t="shared" si="15"/>
        <v>24.35079535546226</v>
      </c>
      <c r="M102" s="76">
        <f t="shared" si="16"/>
        <v>94.616843393682686</v>
      </c>
      <c r="N102" s="76">
        <f t="shared" si="17"/>
        <v>22.191011235955056</v>
      </c>
      <c r="O102" s="76">
        <f t="shared" si="18"/>
        <v>22.191011235955056</v>
      </c>
      <c r="P102" s="76">
        <f>(100*((LN((100-O102)-I102)-4.6052)/-'Fiber_Ash Inputs'!$D$17))*'Fiber_Ash Inputs'!$C$17</f>
        <v>7.3869240261072449</v>
      </c>
      <c r="Q102" s="76">
        <f t="shared" si="19"/>
        <v>58.830414718402729</v>
      </c>
      <c r="R102" s="76">
        <f>IF('Fiber_Ash Inputs'!$B$11=30,MILK2024_Imperial!I102,IF('Fiber_Ash Inputs'!$B$11=48,MILK2024_Imperial!I102*0.926))</f>
        <v>64.2</v>
      </c>
      <c r="S102" s="76">
        <f t="shared" si="20"/>
        <v>5.6980000000000004</v>
      </c>
      <c r="T102" s="76">
        <f t="shared" si="21"/>
        <v>1.7094</v>
      </c>
      <c r="U102" s="46">
        <f t="shared" si="22"/>
        <v>2.5</v>
      </c>
      <c r="V102" s="77">
        <f t="shared" si="23"/>
        <v>14.399999999999997</v>
      </c>
      <c r="W102" s="76">
        <f>((G102*0.3+MILK2024_Imperial!$J$22*0.7)/100)*MILK2024_Imperial!AT102</f>
        <v>4.5856445751997779</v>
      </c>
      <c r="X102" s="76">
        <f>((S102*0.3+MILK2024_Imperial!$L$22*0.7)/100)*MILK2024_Imperial!AT102</f>
        <v>2.8283731001045389</v>
      </c>
      <c r="Y102" s="76">
        <f>((T102*0.3+MILK2024_Imperial!$M$22*0.7)/100)*MILK2024_Imperial!AT102</f>
        <v>1.4298208821942155</v>
      </c>
      <c r="Z102" s="76">
        <f t="shared" si="24"/>
        <v>3.4787109692996374</v>
      </c>
      <c r="AA102" s="76">
        <f t="shared" si="25"/>
        <v>1.0436132907898912</v>
      </c>
      <c r="AB102" s="76">
        <f>AA102+MILK2024_Imperial!$U$32</f>
        <v>3.5106375837640469</v>
      </c>
      <c r="AC102" s="76">
        <f>($AC$10*0.2)/(MILK2024_Imperial!AT102)</f>
        <v>2.1952587200950457</v>
      </c>
      <c r="AD102" s="76">
        <f t="shared" si="26"/>
        <v>15.518325182771083</v>
      </c>
      <c r="AE102" s="76">
        <f t="shared" si="27"/>
        <v>3.2733558347128535</v>
      </c>
      <c r="AF102" s="46">
        <f>(AC102*MILK2024_Imperial!AT102)/1000</f>
        <v>6.0000000000000005E-2</v>
      </c>
      <c r="AG102" s="76">
        <f>(AD102*MILK2024_Imperial!AT102)/1000</f>
        <v>0.42414112853447733</v>
      </c>
      <c r="AH102" s="76">
        <f t="shared" si="28"/>
        <v>0.82301469114619663</v>
      </c>
      <c r="AI102" s="50">
        <f t="shared" si="29"/>
        <v>339.84845660228433</v>
      </c>
      <c r="AJ102" s="76">
        <f>(0.0146*AI102)/MILK2024_Imperial!AT102</f>
        <v>0.18154012004763848</v>
      </c>
      <c r="AK102" s="76">
        <f>(0.294*MILK2024_Imperial!AT102-0.347*(U102*0.3+MILK2024_Imperial!$U$17*0.7)+0.0409*(H102*0.3+$F$22*0.7))/MILK2024_Imperial!AT102</f>
        <v>0.28296826901575345</v>
      </c>
      <c r="AL102" s="76">
        <f t="shared" si="30"/>
        <v>2.8088474456494614</v>
      </c>
      <c r="AM102" s="76">
        <f t="shared" si="31"/>
        <v>1.8538393141286447</v>
      </c>
      <c r="AN102" s="76">
        <f t="shared" ref="AN102:AN126" si="43">((AM102*AT102)-$AN$11-$AN$14)</f>
        <v>33.538450980075311</v>
      </c>
      <c r="AO102" s="76">
        <f t="shared" si="32"/>
        <v>0.2972717251180757</v>
      </c>
      <c r="AP102" s="78">
        <f t="shared" si="33"/>
        <v>9.9700331806350047</v>
      </c>
      <c r="AQ102" s="78">
        <f t="shared" si="34"/>
        <v>0.8025160835789511</v>
      </c>
      <c r="AR102" s="78">
        <f t="shared" ref="AR102:AR126" si="44">(AP102)/$AR$20</f>
        <v>13.473017811668925</v>
      </c>
      <c r="AS102" s="78">
        <f t="shared" si="35"/>
        <v>29.640639185671635</v>
      </c>
      <c r="AT102" s="78">
        <f t="shared" ref="AT102:AT126" si="45">12-0.107*($F$22*0.7+H102*0.3)+8.17*($AU$10/($F$22*0.7+H102*0.3))+0.0253*($G$22*0.7+R102*0.3)-0.328*(($AU$10/($F$22*0.7+H102*0.3))-0.602)*(($G$22*0.7+R102*0.3)-48.3)+0.225*$AU$13+0.0039*(($G$22*0.7+R102*0.3)-48.3)*($AU$13-33.1)</f>
        <v>27.331630413659056</v>
      </c>
      <c r="AU102" s="78">
        <f t="shared" si="36"/>
        <v>60.12958691004993</v>
      </c>
      <c r="AV102" s="78">
        <f t="shared" si="37"/>
        <v>18.038876073014979</v>
      </c>
      <c r="AW102" s="79">
        <f t="shared" ref="AW102:AW126" si="46">(AS102/AV102)*2000</f>
        <v>3286.3066485624522</v>
      </c>
      <c r="AX102" s="79">
        <f t="shared" ref="AX102:AX126" si="47">C102*AW102</f>
        <v>32863.06648562452</v>
      </c>
      <c r="AY102" s="30"/>
      <c r="AZ102" s="1"/>
    </row>
    <row r="103" spans="1:52" x14ac:dyDescent="0.2">
      <c r="A103" s="47" t="s">
        <v>258</v>
      </c>
      <c r="B103" s="47"/>
      <c r="C103" s="48">
        <v>10</v>
      </c>
      <c r="D103" s="48">
        <v>37.1</v>
      </c>
      <c r="E103" s="48">
        <v>76.8</v>
      </c>
      <c r="F103" s="48">
        <v>3.5</v>
      </c>
      <c r="G103" s="48">
        <v>7.4</v>
      </c>
      <c r="H103" s="80">
        <f>'Fiber_Ash Inputs'!V76</f>
        <v>35.6</v>
      </c>
      <c r="I103" s="80">
        <f>'Fiber_Ash Inputs'!W76</f>
        <v>64.2</v>
      </c>
      <c r="J103" s="80">
        <f>'Fiber_Ash Inputs'!X76</f>
        <v>7.9</v>
      </c>
      <c r="K103" s="80">
        <f>'Fiber_Ash Inputs'!U76</f>
        <v>3</v>
      </c>
      <c r="L103" s="76">
        <f t="shared" ref="L103:L126" si="48">100*((LN(100-E103)-4.6052)/-6)</f>
        <v>24.35079535546226</v>
      </c>
      <c r="M103" s="76">
        <f t="shared" ref="M103:M126" si="49">82.224+(0.185*(100*(L103/(L103+12))))</f>
        <v>94.616843393682686</v>
      </c>
      <c r="N103" s="76">
        <f t="shared" ref="N103:N126" si="50">(J103/(H103/100))</f>
        <v>22.191011235955056</v>
      </c>
      <c r="O103" s="76">
        <f t="shared" ref="O103:O126" si="51">IF(I103+N103&lt;100,N103,IF(I103+N103=100,99.9-I103,IF(I103+N103&gt;100,99.9-I103)))</f>
        <v>22.191011235955056</v>
      </c>
      <c r="P103" s="76">
        <f>(100*((LN((100-O103)-I103)-4.6052)/-'Fiber_Ash Inputs'!$D$17))*'Fiber_Ash Inputs'!$C$17</f>
        <v>7.3869240261072449</v>
      </c>
      <c r="Q103" s="76">
        <f t="shared" ref="Q103:Q126" si="52">(100-O103)*(1.1*(P103/(P103+3.36)))</f>
        <v>58.830414718402729</v>
      </c>
      <c r="R103" s="76">
        <f>IF('Fiber_Ash Inputs'!$B$11=30,MILK2024_Imperial!I103,IF('Fiber_Ash Inputs'!$B$11=48,MILK2024_Imperial!I103*0.926))</f>
        <v>64.2</v>
      </c>
      <c r="S103" s="76">
        <f t="shared" ref="S103:S126" si="53">G103*0.77</f>
        <v>5.6980000000000004</v>
      </c>
      <c r="T103" s="76">
        <f t="shared" ref="T103:T126" si="54">(G103*0.33)*0.7</f>
        <v>1.7094</v>
      </c>
      <c r="U103" s="46">
        <f t="shared" ref="U103:U126" si="55">F103-1</f>
        <v>2.5</v>
      </c>
      <c r="V103" s="77">
        <f t="shared" ref="V103:V126" si="56">100-K103-D103-H103-U103-G103</f>
        <v>14.399999999999997</v>
      </c>
      <c r="W103" s="76">
        <f>((G103*0.3+MILK2024_Imperial!$J$22*0.7)/100)*MILK2024_Imperial!AT103</f>
        <v>4.5856445751997779</v>
      </c>
      <c r="X103" s="76">
        <f>((S103*0.3+MILK2024_Imperial!$L$22*0.7)/100)*MILK2024_Imperial!AT103</f>
        <v>2.8283731001045389</v>
      </c>
      <c r="Y103" s="76">
        <f>((T103*0.3+MILK2024_Imperial!$M$22*0.7)/100)*MILK2024_Imperial!AT103</f>
        <v>1.4298208821942155</v>
      </c>
      <c r="Z103" s="76">
        <f t="shared" ref="Z103:Z126" si="57">(0.042*H103*(Q103/100))+(0.0423*D103*(M103/100))+(0.094*U103*0.73)+(0.0565*(S103+T103))+(0.04*V103*0.91)</f>
        <v>3.4787109692996374</v>
      </c>
      <c r="AA103" s="76">
        <f t="shared" ref="AA103:AA126" si="58">Z103*($AA$10/100)</f>
        <v>1.0436132907898912</v>
      </c>
      <c r="AB103" s="76">
        <f>AA103+MILK2024_Imperial!$U$32</f>
        <v>3.5106375837640469</v>
      </c>
      <c r="AC103" s="76">
        <f>($AC$10*0.2)/(MILK2024_Imperial!AT103)</f>
        <v>2.1952587200950457</v>
      </c>
      <c r="AD103" s="76">
        <f t="shared" ref="AD103:AD126" si="59">11.62+0.134*(H103*0.3+$F$22*0.7)</f>
        <v>15.518325182771083</v>
      </c>
      <c r="AE103" s="76">
        <f t="shared" ref="AE103:AE126" si="60">AB103-0.00565*AD103-0.00565*AC103-0.004*34.3</f>
        <v>3.2733558347128535</v>
      </c>
      <c r="AF103" s="46">
        <f>(AC103*MILK2024_Imperial!AT103)/1000</f>
        <v>6.0000000000000005E-2</v>
      </c>
      <c r="AG103" s="76">
        <f>(AD103*MILK2024_Imperial!AT103)/1000</f>
        <v>0.42414112853447733</v>
      </c>
      <c r="AH103" s="76">
        <f t="shared" ref="AH103:AH126" si="61">((X103+Y103)-(AG103+AF103))/W103</f>
        <v>0.82301469114619663</v>
      </c>
      <c r="AI103" s="50">
        <f t="shared" ref="AI103:AI126" si="62">(((W103*AH103)-$AI$10)*1000)/6.25</f>
        <v>339.84845660228433</v>
      </c>
      <c r="AJ103" s="76">
        <f>(0.0146*AI103)/MILK2024_Imperial!AT103</f>
        <v>0.18154012004763848</v>
      </c>
      <c r="AK103" s="76">
        <f>(0.294*MILK2024_Imperial!AT103-0.347*(U103*0.3+MILK2024_Imperial!$U$17*0.7)+0.0409*(H103*0.3+$F$22*0.7))/MILK2024_Imperial!AT103</f>
        <v>0.28296826901575345</v>
      </c>
      <c r="AL103" s="76">
        <f t="shared" ref="AL103:AL126" si="63">AE103-AK103-AJ103</f>
        <v>2.8088474456494614</v>
      </c>
      <c r="AM103" s="76">
        <f t="shared" ref="AM103:AM126" si="64">0.66*AL103</f>
        <v>1.8538393141286447</v>
      </c>
      <c r="AN103" s="76">
        <f t="shared" si="43"/>
        <v>33.538450980075311</v>
      </c>
      <c r="AO103" s="76">
        <f t="shared" ref="AO103:AO126" si="65">AA103/AB103</f>
        <v>0.2972717251180757</v>
      </c>
      <c r="AP103" s="78">
        <f t="shared" ref="AP103:AP126" si="66">AN103*AO103</f>
        <v>9.9700331806350047</v>
      </c>
      <c r="AQ103" s="78">
        <f t="shared" ref="AQ103:AQ126" si="67">((AN103/AT103*AO103))*2.2</f>
        <v>0.8025160835789511</v>
      </c>
      <c r="AR103" s="78">
        <f t="shared" si="44"/>
        <v>13.473017811668925</v>
      </c>
      <c r="AS103" s="78">
        <f t="shared" ref="AS103:AS126" si="68">AR103*2.2</f>
        <v>29.640639185671635</v>
      </c>
      <c r="AT103" s="78">
        <f t="shared" si="45"/>
        <v>27.331630413659056</v>
      </c>
      <c r="AU103" s="78">
        <f t="shared" ref="AU103:AU126" si="69">AT103*2.2</f>
        <v>60.12958691004993</v>
      </c>
      <c r="AV103" s="78">
        <f t="shared" ref="AV103:AV126" si="70">AU103*0.3</f>
        <v>18.038876073014979</v>
      </c>
      <c r="AW103" s="79">
        <f t="shared" si="46"/>
        <v>3286.3066485624522</v>
      </c>
      <c r="AX103" s="79">
        <f t="shared" si="47"/>
        <v>32863.06648562452</v>
      </c>
      <c r="AY103" s="30"/>
      <c r="AZ103" s="1"/>
    </row>
    <row r="104" spans="1:52" x14ac:dyDescent="0.2">
      <c r="A104" s="47" t="s">
        <v>259</v>
      </c>
      <c r="B104" s="47"/>
      <c r="C104" s="48">
        <v>10</v>
      </c>
      <c r="D104" s="48">
        <v>37.1</v>
      </c>
      <c r="E104" s="48">
        <v>76.8</v>
      </c>
      <c r="F104" s="48">
        <v>3.5</v>
      </c>
      <c r="G104" s="48">
        <v>7.4</v>
      </c>
      <c r="H104" s="80">
        <f>'Fiber_Ash Inputs'!V77</f>
        <v>35.6</v>
      </c>
      <c r="I104" s="80">
        <f>'Fiber_Ash Inputs'!W77</f>
        <v>64.2</v>
      </c>
      <c r="J104" s="80">
        <f>'Fiber_Ash Inputs'!X77</f>
        <v>7.9</v>
      </c>
      <c r="K104" s="80">
        <f>'Fiber_Ash Inputs'!U77</f>
        <v>3</v>
      </c>
      <c r="L104" s="76">
        <f t="shared" si="48"/>
        <v>24.35079535546226</v>
      </c>
      <c r="M104" s="76">
        <f t="shared" si="49"/>
        <v>94.616843393682686</v>
      </c>
      <c r="N104" s="76">
        <f t="shared" si="50"/>
        <v>22.191011235955056</v>
      </c>
      <c r="O104" s="76">
        <f t="shared" si="51"/>
        <v>22.191011235955056</v>
      </c>
      <c r="P104" s="76">
        <f>(100*((LN((100-O104)-I104)-4.6052)/-'Fiber_Ash Inputs'!$D$17))*'Fiber_Ash Inputs'!$C$17</f>
        <v>7.3869240261072449</v>
      </c>
      <c r="Q104" s="76">
        <f t="shared" si="52"/>
        <v>58.830414718402729</v>
      </c>
      <c r="R104" s="76">
        <f>IF('Fiber_Ash Inputs'!$B$11=30,MILK2024_Imperial!I104,IF('Fiber_Ash Inputs'!$B$11=48,MILK2024_Imperial!I104*0.926))</f>
        <v>64.2</v>
      </c>
      <c r="S104" s="76">
        <f t="shared" si="53"/>
        <v>5.6980000000000004</v>
      </c>
      <c r="T104" s="76">
        <f t="shared" si="54"/>
        <v>1.7094</v>
      </c>
      <c r="U104" s="46">
        <f t="shared" si="55"/>
        <v>2.5</v>
      </c>
      <c r="V104" s="77">
        <f t="shared" si="56"/>
        <v>14.399999999999997</v>
      </c>
      <c r="W104" s="76">
        <f>((G104*0.3+MILK2024_Imperial!$J$22*0.7)/100)*MILK2024_Imperial!AT104</f>
        <v>4.5856445751997779</v>
      </c>
      <c r="X104" s="76">
        <f>((S104*0.3+MILK2024_Imperial!$L$22*0.7)/100)*MILK2024_Imperial!AT104</f>
        <v>2.8283731001045389</v>
      </c>
      <c r="Y104" s="76">
        <f>((T104*0.3+MILK2024_Imperial!$M$22*0.7)/100)*MILK2024_Imperial!AT104</f>
        <v>1.4298208821942155</v>
      </c>
      <c r="Z104" s="76">
        <f t="shared" si="57"/>
        <v>3.4787109692996374</v>
      </c>
      <c r="AA104" s="76">
        <f t="shared" si="58"/>
        <v>1.0436132907898912</v>
      </c>
      <c r="AB104" s="76">
        <f>AA104+MILK2024_Imperial!$U$32</f>
        <v>3.5106375837640469</v>
      </c>
      <c r="AC104" s="76">
        <f>($AC$10*0.2)/(MILK2024_Imperial!AT104)</f>
        <v>2.1952587200950457</v>
      </c>
      <c r="AD104" s="76">
        <f t="shared" si="59"/>
        <v>15.518325182771083</v>
      </c>
      <c r="AE104" s="76">
        <f t="shared" si="60"/>
        <v>3.2733558347128535</v>
      </c>
      <c r="AF104" s="46">
        <f>(AC104*MILK2024_Imperial!AT104)/1000</f>
        <v>6.0000000000000005E-2</v>
      </c>
      <c r="AG104" s="76">
        <f>(AD104*MILK2024_Imperial!AT104)/1000</f>
        <v>0.42414112853447733</v>
      </c>
      <c r="AH104" s="76">
        <f t="shared" si="61"/>
        <v>0.82301469114619663</v>
      </c>
      <c r="AI104" s="50">
        <f t="shared" si="62"/>
        <v>339.84845660228433</v>
      </c>
      <c r="AJ104" s="76">
        <f>(0.0146*AI104)/MILK2024_Imperial!AT104</f>
        <v>0.18154012004763848</v>
      </c>
      <c r="AK104" s="76">
        <f>(0.294*MILK2024_Imperial!AT104-0.347*(U104*0.3+MILK2024_Imperial!$U$17*0.7)+0.0409*(H104*0.3+$F$22*0.7))/MILK2024_Imperial!AT104</f>
        <v>0.28296826901575345</v>
      </c>
      <c r="AL104" s="76">
        <f t="shared" si="63"/>
        <v>2.8088474456494614</v>
      </c>
      <c r="AM104" s="76">
        <f t="shared" si="64"/>
        <v>1.8538393141286447</v>
      </c>
      <c r="AN104" s="76">
        <f t="shared" si="43"/>
        <v>33.538450980075311</v>
      </c>
      <c r="AO104" s="76">
        <f t="shared" si="65"/>
        <v>0.2972717251180757</v>
      </c>
      <c r="AP104" s="78">
        <f t="shared" si="66"/>
        <v>9.9700331806350047</v>
      </c>
      <c r="AQ104" s="78">
        <f t="shared" si="67"/>
        <v>0.8025160835789511</v>
      </c>
      <c r="AR104" s="78">
        <f t="shared" si="44"/>
        <v>13.473017811668925</v>
      </c>
      <c r="AS104" s="78">
        <f t="shared" si="68"/>
        <v>29.640639185671635</v>
      </c>
      <c r="AT104" s="78">
        <f t="shared" si="45"/>
        <v>27.331630413659056</v>
      </c>
      <c r="AU104" s="78">
        <f t="shared" si="69"/>
        <v>60.12958691004993</v>
      </c>
      <c r="AV104" s="78">
        <f t="shared" si="70"/>
        <v>18.038876073014979</v>
      </c>
      <c r="AW104" s="79">
        <f t="shared" si="46"/>
        <v>3286.3066485624522</v>
      </c>
      <c r="AX104" s="79">
        <f t="shared" si="47"/>
        <v>32863.06648562452</v>
      </c>
      <c r="AY104" s="30"/>
      <c r="AZ104" s="1"/>
    </row>
    <row r="105" spans="1:52" x14ac:dyDescent="0.2">
      <c r="A105" s="47" t="s">
        <v>260</v>
      </c>
      <c r="B105" s="47"/>
      <c r="C105" s="48">
        <v>10</v>
      </c>
      <c r="D105" s="48">
        <v>37.1</v>
      </c>
      <c r="E105" s="48">
        <v>76.8</v>
      </c>
      <c r="F105" s="48">
        <v>3.5</v>
      </c>
      <c r="G105" s="48">
        <v>7.4</v>
      </c>
      <c r="H105" s="80">
        <f>'Fiber_Ash Inputs'!V78</f>
        <v>35.6</v>
      </c>
      <c r="I105" s="80">
        <f>'Fiber_Ash Inputs'!W78</f>
        <v>64.2</v>
      </c>
      <c r="J105" s="80">
        <f>'Fiber_Ash Inputs'!X78</f>
        <v>7.9</v>
      </c>
      <c r="K105" s="80">
        <f>'Fiber_Ash Inputs'!U78</f>
        <v>3</v>
      </c>
      <c r="L105" s="76">
        <f t="shared" si="48"/>
        <v>24.35079535546226</v>
      </c>
      <c r="M105" s="76">
        <f t="shared" si="49"/>
        <v>94.616843393682686</v>
      </c>
      <c r="N105" s="76">
        <f t="shared" si="50"/>
        <v>22.191011235955056</v>
      </c>
      <c r="O105" s="76">
        <f t="shared" si="51"/>
        <v>22.191011235955056</v>
      </c>
      <c r="P105" s="76">
        <f>(100*((LN((100-O105)-I105)-4.6052)/-'Fiber_Ash Inputs'!$D$17))*'Fiber_Ash Inputs'!$C$17</f>
        <v>7.3869240261072449</v>
      </c>
      <c r="Q105" s="76">
        <f t="shared" si="52"/>
        <v>58.830414718402729</v>
      </c>
      <c r="R105" s="76">
        <f>IF('Fiber_Ash Inputs'!$B$11=30,MILK2024_Imperial!I105,IF('Fiber_Ash Inputs'!$B$11=48,MILK2024_Imperial!I105*0.926))</f>
        <v>64.2</v>
      </c>
      <c r="S105" s="76">
        <f t="shared" si="53"/>
        <v>5.6980000000000004</v>
      </c>
      <c r="T105" s="76">
        <f t="shared" si="54"/>
        <v>1.7094</v>
      </c>
      <c r="U105" s="46">
        <f t="shared" si="55"/>
        <v>2.5</v>
      </c>
      <c r="V105" s="77">
        <f t="shared" si="56"/>
        <v>14.399999999999997</v>
      </c>
      <c r="W105" s="76">
        <f>((G105*0.3+MILK2024_Imperial!$J$22*0.7)/100)*MILK2024_Imperial!AT105</f>
        <v>4.5856445751997779</v>
      </c>
      <c r="X105" s="76">
        <f>((S105*0.3+MILK2024_Imperial!$L$22*0.7)/100)*MILK2024_Imperial!AT105</f>
        <v>2.8283731001045389</v>
      </c>
      <c r="Y105" s="76">
        <f>((T105*0.3+MILK2024_Imperial!$M$22*0.7)/100)*MILK2024_Imperial!AT105</f>
        <v>1.4298208821942155</v>
      </c>
      <c r="Z105" s="76">
        <f t="shared" si="57"/>
        <v>3.4787109692996374</v>
      </c>
      <c r="AA105" s="76">
        <f t="shared" si="58"/>
        <v>1.0436132907898912</v>
      </c>
      <c r="AB105" s="76">
        <f>AA105+MILK2024_Imperial!$U$32</f>
        <v>3.5106375837640469</v>
      </c>
      <c r="AC105" s="76">
        <f>($AC$10*0.2)/(MILK2024_Imperial!AT105)</f>
        <v>2.1952587200950457</v>
      </c>
      <c r="AD105" s="76">
        <f t="shared" si="59"/>
        <v>15.518325182771083</v>
      </c>
      <c r="AE105" s="76">
        <f t="shared" si="60"/>
        <v>3.2733558347128535</v>
      </c>
      <c r="AF105" s="46">
        <f>(AC105*MILK2024_Imperial!AT105)/1000</f>
        <v>6.0000000000000005E-2</v>
      </c>
      <c r="AG105" s="76">
        <f>(AD105*MILK2024_Imperial!AT105)/1000</f>
        <v>0.42414112853447733</v>
      </c>
      <c r="AH105" s="76">
        <f t="shared" si="61"/>
        <v>0.82301469114619663</v>
      </c>
      <c r="AI105" s="50">
        <f t="shared" si="62"/>
        <v>339.84845660228433</v>
      </c>
      <c r="AJ105" s="76">
        <f>(0.0146*AI105)/MILK2024_Imperial!AT105</f>
        <v>0.18154012004763848</v>
      </c>
      <c r="AK105" s="76">
        <f>(0.294*MILK2024_Imperial!AT105-0.347*(U105*0.3+MILK2024_Imperial!$U$17*0.7)+0.0409*(H105*0.3+$F$22*0.7))/MILK2024_Imperial!AT105</f>
        <v>0.28296826901575345</v>
      </c>
      <c r="AL105" s="76">
        <f t="shared" si="63"/>
        <v>2.8088474456494614</v>
      </c>
      <c r="AM105" s="76">
        <f t="shared" si="64"/>
        <v>1.8538393141286447</v>
      </c>
      <c r="AN105" s="76">
        <f t="shared" si="43"/>
        <v>33.538450980075311</v>
      </c>
      <c r="AO105" s="76">
        <f t="shared" si="65"/>
        <v>0.2972717251180757</v>
      </c>
      <c r="AP105" s="78">
        <f t="shared" si="66"/>
        <v>9.9700331806350047</v>
      </c>
      <c r="AQ105" s="78">
        <f t="shared" si="67"/>
        <v>0.8025160835789511</v>
      </c>
      <c r="AR105" s="78">
        <f t="shared" si="44"/>
        <v>13.473017811668925</v>
      </c>
      <c r="AS105" s="78">
        <f t="shared" si="68"/>
        <v>29.640639185671635</v>
      </c>
      <c r="AT105" s="78">
        <f t="shared" si="45"/>
        <v>27.331630413659056</v>
      </c>
      <c r="AU105" s="78">
        <f t="shared" si="69"/>
        <v>60.12958691004993</v>
      </c>
      <c r="AV105" s="78">
        <f t="shared" si="70"/>
        <v>18.038876073014979</v>
      </c>
      <c r="AW105" s="79">
        <f t="shared" si="46"/>
        <v>3286.3066485624522</v>
      </c>
      <c r="AX105" s="79">
        <f t="shared" si="47"/>
        <v>32863.06648562452</v>
      </c>
      <c r="AY105" s="30"/>
      <c r="AZ105" s="1"/>
    </row>
    <row r="106" spans="1:52" x14ac:dyDescent="0.2">
      <c r="A106" s="47" t="s">
        <v>261</v>
      </c>
      <c r="B106" s="47"/>
      <c r="C106" s="48">
        <v>10</v>
      </c>
      <c r="D106" s="48">
        <v>37.1</v>
      </c>
      <c r="E106" s="48">
        <v>76.8</v>
      </c>
      <c r="F106" s="48">
        <v>3.5</v>
      </c>
      <c r="G106" s="48">
        <v>7.4</v>
      </c>
      <c r="H106" s="80">
        <f>'Fiber_Ash Inputs'!V79</f>
        <v>35.6</v>
      </c>
      <c r="I106" s="80">
        <f>'Fiber_Ash Inputs'!W79</f>
        <v>64.2</v>
      </c>
      <c r="J106" s="80">
        <f>'Fiber_Ash Inputs'!X79</f>
        <v>7.9</v>
      </c>
      <c r="K106" s="80">
        <f>'Fiber_Ash Inputs'!U79</f>
        <v>3</v>
      </c>
      <c r="L106" s="76">
        <f t="shared" si="48"/>
        <v>24.35079535546226</v>
      </c>
      <c r="M106" s="76">
        <f t="shared" si="49"/>
        <v>94.616843393682686</v>
      </c>
      <c r="N106" s="76">
        <f t="shared" si="50"/>
        <v>22.191011235955056</v>
      </c>
      <c r="O106" s="76">
        <f t="shared" si="51"/>
        <v>22.191011235955056</v>
      </c>
      <c r="P106" s="76">
        <f>(100*((LN((100-O106)-I106)-4.6052)/-'Fiber_Ash Inputs'!$D$17))*'Fiber_Ash Inputs'!$C$17</f>
        <v>7.3869240261072449</v>
      </c>
      <c r="Q106" s="76">
        <f t="shared" si="52"/>
        <v>58.830414718402729</v>
      </c>
      <c r="R106" s="76">
        <f>IF('Fiber_Ash Inputs'!$B$11=30,MILK2024_Imperial!I106,IF('Fiber_Ash Inputs'!$B$11=48,MILK2024_Imperial!I106*0.926))</f>
        <v>64.2</v>
      </c>
      <c r="S106" s="76">
        <f t="shared" si="53"/>
        <v>5.6980000000000004</v>
      </c>
      <c r="T106" s="76">
        <f t="shared" si="54"/>
        <v>1.7094</v>
      </c>
      <c r="U106" s="46">
        <f t="shared" si="55"/>
        <v>2.5</v>
      </c>
      <c r="V106" s="77">
        <f t="shared" si="56"/>
        <v>14.399999999999997</v>
      </c>
      <c r="W106" s="76">
        <f>((G106*0.3+MILK2024_Imperial!$J$22*0.7)/100)*MILK2024_Imperial!AT106</f>
        <v>4.5856445751997779</v>
      </c>
      <c r="X106" s="76">
        <f>((S106*0.3+MILK2024_Imperial!$L$22*0.7)/100)*MILK2024_Imperial!AT106</f>
        <v>2.8283731001045389</v>
      </c>
      <c r="Y106" s="76">
        <f>((T106*0.3+MILK2024_Imperial!$M$22*0.7)/100)*MILK2024_Imperial!AT106</f>
        <v>1.4298208821942155</v>
      </c>
      <c r="Z106" s="76">
        <f t="shared" si="57"/>
        <v>3.4787109692996374</v>
      </c>
      <c r="AA106" s="76">
        <f t="shared" si="58"/>
        <v>1.0436132907898912</v>
      </c>
      <c r="AB106" s="76">
        <f>AA106+MILK2024_Imperial!$U$32</f>
        <v>3.5106375837640469</v>
      </c>
      <c r="AC106" s="76">
        <f>($AC$10*0.2)/(MILK2024_Imperial!AT106)</f>
        <v>2.1952587200950457</v>
      </c>
      <c r="AD106" s="76">
        <f t="shared" si="59"/>
        <v>15.518325182771083</v>
      </c>
      <c r="AE106" s="76">
        <f t="shared" si="60"/>
        <v>3.2733558347128535</v>
      </c>
      <c r="AF106" s="46">
        <f>(AC106*MILK2024_Imperial!AT106)/1000</f>
        <v>6.0000000000000005E-2</v>
      </c>
      <c r="AG106" s="76">
        <f>(AD106*MILK2024_Imperial!AT106)/1000</f>
        <v>0.42414112853447733</v>
      </c>
      <c r="AH106" s="76">
        <f t="shared" si="61"/>
        <v>0.82301469114619663</v>
      </c>
      <c r="AI106" s="50">
        <f t="shared" si="62"/>
        <v>339.84845660228433</v>
      </c>
      <c r="AJ106" s="76">
        <f>(0.0146*AI106)/MILK2024_Imperial!AT106</f>
        <v>0.18154012004763848</v>
      </c>
      <c r="AK106" s="76">
        <f>(0.294*MILK2024_Imperial!AT106-0.347*(U106*0.3+MILK2024_Imperial!$U$17*0.7)+0.0409*(H106*0.3+$F$22*0.7))/MILK2024_Imperial!AT106</f>
        <v>0.28296826901575345</v>
      </c>
      <c r="AL106" s="76">
        <f t="shared" si="63"/>
        <v>2.8088474456494614</v>
      </c>
      <c r="AM106" s="76">
        <f t="shared" si="64"/>
        <v>1.8538393141286447</v>
      </c>
      <c r="AN106" s="76">
        <f t="shared" si="43"/>
        <v>33.538450980075311</v>
      </c>
      <c r="AO106" s="76">
        <f t="shared" si="65"/>
        <v>0.2972717251180757</v>
      </c>
      <c r="AP106" s="78">
        <f t="shared" si="66"/>
        <v>9.9700331806350047</v>
      </c>
      <c r="AQ106" s="78">
        <f t="shared" si="67"/>
        <v>0.8025160835789511</v>
      </c>
      <c r="AR106" s="78">
        <f t="shared" si="44"/>
        <v>13.473017811668925</v>
      </c>
      <c r="AS106" s="78">
        <f t="shared" si="68"/>
        <v>29.640639185671635</v>
      </c>
      <c r="AT106" s="78">
        <f t="shared" si="45"/>
        <v>27.331630413659056</v>
      </c>
      <c r="AU106" s="78">
        <f t="shared" si="69"/>
        <v>60.12958691004993</v>
      </c>
      <c r="AV106" s="78">
        <f t="shared" si="70"/>
        <v>18.038876073014979</v>
      </c>
      <c r="AW106" s="79">
        <f t="shared" si="46"/>
        <v>3286.3066485624522</v>
      </c>
      <c r="AX106" s="79">
        <f t="shared" si="47"/>
        <v>32863.06648562452</v>
      </c>
      <c r="AY106" s="30"/>
      <c r="AZ106" s="1"/>
    </row>
    <row r="107" spans="1:52" x14ac:dyDescent="0.2">
      <c r="A107" s="47" t="s">
        <v>262</v>
      </c>
      <c r="B107" s="47"/>
      <c r="C107" s="48">
        <v>10</v>
      </c>
      <c r="D107" s="48">
        <v>37.1</v>
      </c>
      <c r="E107" s="48">
        <v>76.8</v>
      </c>
      <c r="F107" s="48">
        <v>3.5</v>
      </c>
      <c r="G107" s="48">
        <v>7.4</v>
      </c>
      <c r="H107" s="80">
        <f>'Fiber_Ash Inputs'!V80</f>
        <v>35.6</v>
      </c>
      <c r="I107" s="80">
        <f>'Fiber_Ash Inputs'!W80</f>
        <v>64.2</v>
      </c>
      <c r="J107" s="80">
        <f>'Fiber_Ash Inputs'!X80</f>
        <v>7.9</v>
      </c>
      <c r="K107" s="80">
        <f>'Fiber_Ash Inputs'!U80</f>
        <v>3</v>
      </c>
      <c r="L107" s="76">
        <f t="shared" si="48"/>
        <v>24.35079535546226</v>
      </c>
      <c r="M107" s="76">
        <f t="shared" si="49"/>
        <v>94.616843393682686</v>
      </c>
      <c r="N107" s="76">
        <f t="shared" si="50"/>
        <v>22.191011235955056</v>
      </c>
      <c r="O107" s="76">
        <f t="shared" si="51"/>
        <v>22.191011235955056</v>
      </c>
      <c r="P107" s="76">
        <f>(100*((LN((100-O107)-I107)-4.6052)/-'Fiber_Ash Inputs'!$D$17))*'Fiber_Ash Inputs'!$C$17</f>
        <v>7.3869240261072449</v>
      </c>
      <c r="Q107" s="76">
        <f t="shared" si="52"/>
        <v>58.830414718402729</v>
      </c>
      <c r="R107" s="76">
        <f>IF('Fiber_Ash Inputs'!$B$11=30,MILK2024_Imperial!I107,IF('Fiber_Ash Inputs'!$B$11=48,MILK2024_Imperial!I107*0.926))</f>
        <v>64.2</v>
      </c>
      <c r="S107" s="76">
        <f t="shared" si="53"/>
        <v>5.6980000000000004</v>
      </c>
      <c r="T107" s="76">
        <f t="shared" si="54"/>
        <v>1.7094</v>
      </c>
      <c r="U107" s="46">
        <f t="shared" si="55"/>
        <v>2.5</v>
      </c>
      <c r="V107" s="77">
        <f t="shared" si="56"/>
        <v>14.399999999999997</v>
      </c>
      <c r="W107" s="76">
        <f>((G107*0.3+MILK2024_Imperial!$J$22*0.7)/100)*MILK2024_Imperial!AT107</f>
        <v>4.5856445751997779</v>
      </c>
      <c r="X107" s="76">
        <f>((S107*0.3+MILK2024_Imperial!$L$22*0.7)/100)*MILK2024_Imperial!AT107</f>
        <v>2.8283731001045389</v>
      </c>
      <c r="Y107" s="76">
        <f>((T107*0.3+MILK2024_Imperial!$M$22*0.7)/100)*MILK2024_Imperial!AT107</f>
        <v>1.4298208821942155</v>
      </c>
      <c r="Z107" s="76">
        <f t="shared" si="57"/>
        <v>3.4787109692996374</v>
      </c>
      <c r="AA107" s="76">
        <f t="shared" si="58"/>
        <v>1.0436132907898912</v>
      </c>
      <c r="AB107" s="76">
        <f>AA107+MILK2024_Imperial!$U$32</f>
        <v>3.5106375837640469</v>
      </c>
      <c r="AC107" s="76">
        <f>($AC$10*0.2)/(MILK2024_Imperial!AT107)</f>
        <v>2.1952587200950457</v>
      </c>
      <c r="AD107" s="76">
        <f t="shared" si="59"/>
        <v>15.518325182771083</v>
      </c>
      <c r="AE107" s="76">
        <f t="shared" si="60"/>
        <v>3.2733558347128535</v>
      </c>
      <c r="AF107" s="46">
        <f>(AC107*MILK2024_Imperial!AT107)/1000</f>
        <v>6.0000000000000005E-2</v>
      </c>
      <c r="AG107" s="76">
        <f>(AD107*MILK2024_Imperial!AT107)/1000</f>
        <v>0.42414112853447733</v>
      </c>
      <c r="AH107" s="76">
        <f t="shared" si="61"/>
        <v>0.82301469114619663</v>
      </c>
      <c r="AI107" s="50">
        <f t="shared" si="62"/>
        <v>339.84845660228433</v>
      </c>
      <c r="AJ107" s="76">
        <f>(0.0146*AI107)/MILK2024_Imperial!AT107</f>
        <v>0.18154012004763848</v>
      </c>
      <c r="AK107" s="76">
        <f>(0.294*MILK2024_Imperial!AT107-0.347*(U107*0.3+MILK2024_Imperial!$U$17*0.7)+0.0409*(H107*0.3+$F$22*0.7))/MILK2024_Imperial!AT107</f>
        <v>0.28296826901575345</v>
      </c>
      <c r="AL107" s="76">
        <f t="shared" si="63"/>
        <v>2.8088474456494614</v>
      </c>
      <c r="AM107" s="76">
        <f t="shared" si="64"/>
        <v>1.8538393141286447</v>
      </c>
      <c r="AN107" s="76">
        <f t="shared" si="43"/>
        <v>33.538450980075311</v>
      </c>
      <c r="AO107" s="76">
        <f t="shared" si="65"/>
        <v>0.2972717251180757</v>
      </c>
      <c r="AP107" s="78">
        <f t="shared" si="66"/>
        <v>9.9700331806350047</v>
      </c>
      <c r="AQ107" s="78">
        <f t="shared" si="67"/>
        <v>0.8025160835789511</v>
      </c>
      <c r="AR107" s="78">
        <f t="shared" si="44"/>
        <v>13.473017811668925</v>
      </c>
      <c r="AS107" s="78">
        <f t="shared" si="68"/>
        <v>29.640639185671635</v>
      </c>
      <c r="AT107" s="78">
        <f t="shared" si="45"/>
        <v>27.331630413659056</v>
      </c>
      <c r="AU107" s="78">
        <f t="shared" si="69"/>
        <v>60.12958691004993</v>
      </c>
      <c r="AV107" s="78">
        <f t="shared" si="70"/>
        <v>18.038876073014979</v>
      </c>
      <c r="AW107" s="79">
        <f t="shared" si="46"/>
        <v>3286.3066485624522</v>
      </c>
      <c r="AX107" s="79">
        <f t="shared" si="47"/>
        <v>32863.06648562452</v>
      </c>
      <c r="AY107" s="30"/>
      <c r="AZ107" s="1"/>
    </row>
    <row r="108" spans="1:52" x14ac:dyDescent="0.2">
      <c r="A108" s="47" t="s">
        <v>263</v>
      </c>
      <c r="B108" s="47"/>
      <c r="C108" s="48">
        <v>10</v>
      </c>
      <c r="D108" s="48">
        <v>37.1</v>
      </c>
      <c r="E108" s="48">
        <v>76.8</v>
      </c>
      <c r="F108" s="48">
        <v>3.5</v>
      </c>
      <c r="G108" s="48">
        <v>7.4</v>
      </c>
      <c r="H108" s="80">
        <f>'Fiber_Ash Inputs'!V81</f>
        <v>35.6</v>
      </c>
      <c r="I108" s="80">
        <f>'Fiber_Ash Inputs'!W81</f>
        <v>64.2</v>
      </c>
      <c r="J108" s="80">
        <f>'Fiber_Ash Inputs'!X81</f>
        <v>7.9</v>
      </c>
      <c r="K108" s="80">
        <f>'Fiber_Ash Inputs'!U81</f>
        <v>3</v>
      </c>
      <c r="L108" s="76">
        <f t="shared" si="48"/>
        <v>24.35079535546226</v>
      </c>
      <c r="M108" s="76">
        <f t="shared" si="49"/>
        <v>94.616843393682686</v>
      </c>
      <c r="N108" s="76">
        <f t="shared" si="50"/>
        <v>22.191011235955056</v>
      </c>
      <c r="O108" s="76">
        <f t="shared" si="51"/>
        <v>22.191011235955056</v>
      </c>
      <c r="P108" s="76">
        <f>(100*((LN((100-O108)-I108)-4.6052)/-'Fiber_Ash Inputs'!$D$17))*'Fiber_Ash Inputs'!$C$17</f>
        <v>7.3869240261072449</v>
      </c>
      <c r="Q108" s="76">
        <f t="shared" si="52"/>
        <v>58.830414718402729</v>
      </c>
      <c r="R108" s="76">
        <f>IF('Fiber_Ash Inputs'!$B$11=30,MILK2024_Imperial!I108,IF('Fiber_Ash Inputs'!$B$11=48,MILK2024_Imperial!I108*0.926))</f>
        <v>64.2</v>
      </c>
      <c r="S108" s="76">
        <f t="shared" si="53"/>
        <v>5.6980000000000004</v>
      </c>
      <c r="T108" s="76">
        <f t="shared" si="54"/>
        <v>1.7094</v>
      </c>
      <c r="U108" s="46">
        <f t="shared" si="55"/>
        <v>2.5</v>
      </c>
      <c r="V108" s="77">
        <f t="shared" si="56"/>
        <v>14.399999999999997</v>
      </c>
      <c r="W108" s="76">
        <f>((G108*0.3+MILK2024_Imperial!$J$22*0.7)/100)*MILK2024_Imperial!AT108</f>
        <v>4.5856445751997779</v>
      </c>
      <c r="X108" s="76">
        <f>((S108*0.3+MILK2024_Imperial!$L$22*0.7)/100)*MILK2024_Imperial!AT108</f>
        <v>2.8283731001045389</v>
      </c>
      <c r="Y108" s="76">
        <f>((T108*0.3+MILK2024_Imperial!$M$22*0.7)/100)*MILK2024_Imperial!AT108</f>
        <v>1.4298208821942155</v>
      </c>
      <c r="Z108" s="76">
        <f t="shared" si="57"/>
        <v>3.4787109692996374</v>
      </c>
      <c r="AA108" s="76">
        <f t="shared" si="58"/>
        <v>1.0436132907898912</v>
      </c>
      <c r="AB108" s="76">
        <f>AA108+MILK2024_Imperial!$U$32</f>
        <v>3.5106375837640469</v>
      </c>
      <c r="AC108" s="76">
        <f>($AC$10*0.2)/(MILK2024_Imperial!AT108)</f>
        <v>2.1952587200950457</v>
      </c>
      <c r="AD108" s="76">
        <f t="shared" si="59"/>
        <v>15.518325182771083</v>
      </c>
      <c r="AE108" s="76">
        <f t="shared" si="60"/>
        <v>3.2733558347128535</v>
      </c>
      <c r="AF108" s="46">
        <f>(AC108*MILK2024_Imperial!AT108)/1000</f>
        <v>6.0000000000000005E-2</v>
      </c>
      <c r="AG108" s="76">
        <f>(AD108*MILK2024_Imperial!AT108)/1000</f>
        <v>0.42414112853447733</v>
      </c>
      <c r="AH108" s="76">
        <f t="shared" si="61"/>
        <v>0.82301469114619663</v>
      </c>
      <c r="AI108" s="50">
        <f t="shared" si="62"/>
        <v>339.84845660228433</v>
      </c>
      <c r="AJ108" s="76">
        <f>(0.0146*AI108)/MILK2024_Imperial!AT108</f>
        <v>0.18154012004763848</v>
      </c>
      <c r="AK108" s="76">
        <f>(0.294*MILK2024_Imperial!AT108-0.347*(U108*0.3+MILK2024_Imperial!$U$17*0.7)+0.0409*(H108*0.3+$F$22*0.7))/MILK2024_Imperial!AT108</f>
        <v>0.28296826901575345</v>
      </c>
      <c r="AL108" s="76">
        <f t="shared" si="63"/>
        <v>2.8088474456494614</v>
      </c>
      <c r="AM108" s="76">
        <f t="shared" si="64"/>
        <v>1.8538393141286447</v>
      </c>
      <c r="AN108" s="76">
        <f t="shared" si="43"/>
        <v>33.538450980075311</v>
      </c>
      <c r="AO108" s="76">
        <f t="shared" si="65"/>
        <v>0.2972717251180757</v>
      </c>
      <c r="AP108" s="78">
        <f t="shared" si="66"/>
        <v>9.9700331806350047</v>
      </c>
      <c r="AQ108" s="78">
        <f t="shared" si="67"/>
        <v>0.8025160835789511</v>
      </c>
      <c r="AR108" s="78">
        <f t="shared" si="44"/>
        <v>13.473017811668925</v>
      </c>
      <c r="AS108" s="78">
        <f t="shared" si="68"/>
        <v>29.640639185671635</v>
      </c>
      <c r="AT108" s="78">
        <f t="shared" si="45"/>
        <v>27.331630413659056</v>
      </c>
      <c r="AU108" s="78">
        <f t="shared" si="69"/>
        <v>60.12958691004993</v>
      </c>
      <c r="AV108" s="78">
        <f t="shared" si="70"/>
        <v>18.038876073014979</v>
      </c>
      <c r="AW108" s="79">
        <f t="shared" si="46"/>
        <v>3286.3066485624522</v>
      </c>
      <c r="AX108" s="79">
        <f t="shared" si="47"/>
        <v>32863.06648562452</v>
      </c>
      <c r="AY108" s="30"/>
      <c r="AZ108" s="1"/>
    </row>
    <row r="109" spans="1:52" x14ac:dyDescent="0.2">
      <c r="A109" s="47" t="s">
        <v>264</v>
      </c>
      <c r="B109" s="47"/>
      <c r="C109" s="48">
        <v>10</v>
      </c>
      <c r="D109" s="48">
        <v>37.1</v>
      </c>
      <c r="E109" s="48">
        <v>76.8</v>
      </c>
      <c r="F109" s="48">
        <v>3.5</v>
      </c>
      <c r="G109" s="48">
        <v>7.4</v>
      </c>
      <c r="H109" s="80">
        <f>'Fiber_Ash Inputs'!V82</f>
        <v>35.6</v>
      </c>
      <c r="I109" s="80">
        <f>'Fiber_Ash Inputs'!W82</f>
        <v>64.2</v>
      </c>
      <c r="J109" s="80">
        <f>'Fiber_Ash Inputs'!X82</f>
        <v>7.9</v>
      </c>
      <c r="K109" s="80">
        <f>'Fiber_Ash Inputs'!U82</f>
        <v>3</v>
      </c>
      <c r="L109" s="76">
        <f t="shared" si="48"/>
        <v>24.35079535546226</v>
      </c>
      <c r="M109" s="76">
        <f t="shared" si="49"/>
        <v>94.616843393682686</v>
      </c>
      <c r="N109" s="76">
        <f t="shared" si="50"/>
        <v>22.191011235955056</v>
      </c>
      <c r="O109" s="76">
        <f t="shared" si="51"/>
        <v>22.191011235955056</v>
      </c>
      <c r="P109" s="76">
        <f>(100*((LN((100-O109)-I109)-4.6052)/-'Fiber_Ash Inputs'!$D$17))*'Fiber_Ash Inputs'!$C$17</f>
        <v>7.3869240261072449</v>
      </c>
      <c r="Q109" s="76">
        <f t="shared" si="52"/>
        <v>58.830414718402729</v>
      </c>
      <c r="R109" s="76">
        <f>IF('Fiber_Ash Inputs'!$B$11=30,MILK2024_Imperial!I109,IF('Fiber_Ash Inputs'!$B$11=48,MILK2024_Imperial!I109*0.926))</f>
        <v>64.2</v>
      </c>
      <c r="S109" s="76">
        <f t="shared" si="53"/>
        <v>5.6980000000000004</v>
      </c>
      <c r="T109" s="76">
        <f t="shared" si="54"/>
        <v>1.7094</v>
      </c>
      <c r="U109" s="46">
        <f t="shared" si="55"/>
        <v>2.5</v>
      </c>
      <c r="V109" s="77">
        <f t="shared" si="56"/>
        <v>14.399999999999997</v>
      </c>
      <c r="W109" s="76">
        <f>((G109*0.3+MILK2024_Imperial!$J$22*0.7)/100)*MILK2024_Imperial!AT109</f>
        <v>4.5856445751997779</v>
      </c>
      <c r="X109" s="76">
        <f>((S109*0.3+MILK2024_Imperial!$L$22*0.7)/100)*MILK2024_Imperial!AT109</f>
        <v>2.8283731001045389</v>
      </c>
      <c r="Y109" s="76">
        <f>((T109*0.3+MILK2024_Imperial!$M$22*0.7)/100)*MILK2024_Imperial!AT109</f>
        <v>1.4298208821942155</v>
      </c>
      <c r="Z109" s="76">
        <f t="shared" si="57"/>
        <v>3.4787109692996374</v>
      </c>
      <c r="AA109" s="76">
        <f t="shared" si="58"/>
        <v>1.0436132907898912</v>
      </c>
      <c r="AB109" s="76">
        <f>AA109+MILK2024_Imperial!$U$32</f>
        <v>3.5106375837640469</v>
      </c>
      <c r="AC109" s="76">
        <f>($AC$10*0.2)/(MILK2024_Imperial!AT109)</f>
        <v>2.1952587200950457</v>
      </c>
      <c r="AD109" s="76">
        <f t="shared" si="59"/>
        <v>15.518325182771083</v>
      </c>
      <c r="AE109" s="76">
        <f t="shared" si="60"/>
        <v>3.2733558347128535</v>
      </c>
      <c r="AF109" s="46">
        <f>(AC109*MILK2024_Imperial!AT109)/1000</f>
        <v>6.0000000000000005E-2</v>
      </c>
      <c r="AG109" s="76">
        <f>(AD109*MILK2024_Imperial!AT109)/1000</f>
        <v>0.42414112853447733</v>
      </c>
      <c r="AH109" s="76">
        <f t="shared" si="61"/>
        <v>0.82301469114619663</v>
      </c>
      <c r="AI109" s="50">
        <f t="shared" si="62"/>
        <v>339.84845660228433</v>
      </c>
      <c r="AJ109" s="76">
        <f>(0.0146*AI109)/MILK2024_Imperial!AT109</f>
        <v>0.18154012004763848</v>
      </c>
      <c r="AK109" s="76">
        <f>(0.294*MILK2024_Imperial!AT109-0.347*(U109*0.3+MILK2024_Imperial!$U$17*0.7)+0.0409*(H109*0.3+$F$22*0.7))/MILK2024_Imperial!AT109</f>
        <v>0.28296826901575345</v>
      </c>
      <c r="AL109" s="76">
        <f t="shared" si="63"/>
        <v>2.8088474456494614</v>
      </c>
      <c r="AM109" s="76">
        <f t="shared" si="64"/>
        <v>1.8538393141286447</v>
      </c>
      <c r="AN109" s="76">
        <f t="shared" si="43"/>
        <v>33.538450980075311</v>
      </c>
      <c r="AO109" s="76">
        <f t="shared" si="65"/>
        <v>0.2972717251180757</v>
      </c>
      <c r="AP109" s="78">
        <f t="shared" si="66"/>
        <v>9.9700331806350047</v>
      </c>
      <c r="AQ109" s="78">
        <f t="shared" si="67"/>
        <v>0.8025160835789511</v>
      </c>
      <c r="AR109" s="78">
        <f t="shared" si="44"/>
        <v>13.473017811668925</v>
      </c>
      <c r="AS109" s="78">
        <f t="shared" si="68"/>
        <v>29.640639185671635</v>
      </c>
      <c r="AT109" s="78">
        <f t="shared" si="45"/>
        <v>27.331630413659056</v>
      </c>
      <c r="AU109" s="78">
        <f t="shared" si="69"/>
        <v>60.12958691004993</v>
      </c>
      <c r="AV109" s="78">
        <f t="shared" si="70"/>
        <v>18.038876073014979</v>
      </c>
      <c r="AW109" s="79">
        <f t="shared" si="46"/>
        <v>3286.3066485624522</v>
      </c>
      <c r="AX109" s="79">
        <f t="shared" si="47"/>
        <v>32863.06648562452</v>
      </c>
      <c r="AY109" s="30"/>
      <c r="AZ109" s="1"/>
    </row>
    <row r="110" spans="1:52" x14ac:dyDescent="0.2">
      <c r="A110" s="47" t="s">
        <v>265</v>
      </c>
      <c r="B110" s="47"/>
      <c r="C110" s="48">
        <v>10</v>
      </c>
      <c r="D110" s="48">
        <v>37.1</v>
      </c>
      <c r="E110" s="48">
        <v>76.8</v>
      </c>
      <c r="F110" s="48">
        <v>3.5</v>
      </c>
      <c r="G110" s="48">
        <v>7.4</v>
      </c>
      <c r="H110" s="80">
        <f>'Fiber_Ash Inputs'!V83</f>
        <v>35.6</v>
      </c>
      <c r="I110" s="80">
        <f>'Fiber_Ash Inputs'!W83</f>
        <v>64.2</v>
      </c>
      <c r="J110" s="80">
        <f>'Fiber_Ash Inputs'!X83</f>
        <v>7.9</v>
      </c>
      <c r="K110" s="80">
        <f>'Fiber_Ash Inputs'!U83</f>
        <v>3</v>
      </c>
      <c r="L110" s="76">
        <f t="shared" si="48"/>
        <v>24.35079535546226</v>
      </c>
      <c r="M110" s="76">
        <f t="shared" si="49"/>
        <v>94.616843393682686</v>
      </c>
      <c r="N110" s="76">
        <f t="shared" si="50"/>
        <v>22.191011235955056</v>
      </c>
      <c r="O110" s="76">
        <f t="shared" si="51"/>
        <v>22.191011235955056</v>
      </c>
      <c r="P110" s="76">
        <f>(100*((LN((100-O110)-I110)-4.6052)/-'Fiber_Ash Inputs'!$D$17))*'Fiber_Ash Inputs'!$C$17</f>
        <v>7.3869240261072449</v>
      </c>
      <c r="Q110" s="76">
        <f t="shared" si="52"/>
        <v>58.830414718402729</v>
      </c>
      <c r="R110" s="76">
        <f>IF('Fiber_Ash Inputs'!$B$11=30,MILK2024_Imperial!I110,IF('Fiber_Ash Inputs'!$B$11=48,MILK2024_Imperial!I110*0.926))</f>
        <v>64.2</v>
      </c>
      <c r="S110" s="76">
        <f t="shared" si="53"/>
        <v>5.6980000000000004</v>
      </c>
      <c r="T110" s="76">
        <f t="shared" si="54"/>
        <v>1.7094</v>
      </c>
      <c r="U110" s="46">
        <f t="shared" si="55"/>
        <v>2.5</v>
      </c>
      <c r="V110" s="77">
        <f t="shared" si="56"/>
        <v>14.399999999999997</v>
      </c>
      <c r="W110" s="76">
        <f>((G110*0.3+MILK2024_Imperial!$J$22*0.7)/100)*MILK2024_Imperial!AT110</f>
        <v>4.5856445751997779</v>
      </c>
      <c r="X110" s="76">
        <f>((S110*0.3+MILK2024_Imperial!$L$22*0.7)/100)*MILK2024_Imperial!AT110</f>
        <v>2.8283731001045389</v>
      </c>
      <c r="Y110" s="76">
        <f>((T110*0.3+MILK2024_Imperial!$M$22*0.7)/100)*MILK2024_Imperial!AT110</f>
        <v>1.4298208821942155</v>
      </c>
      <c r="Z110" s="76">
        <f t="shared" si="57"/>
        <v>3.4787109692996374</v>
      </c>
      <c r="AA110" s="76">
        <f t="shared" si="58"/>
        <v>1.0436132907898912</v>
      </c>
      <c r="AB110" s="76">
        <f>AA110+MILK2024_Imperial!$U$32</f>
        <v>3.5106375837640469</v>
      </c>
      <c r="AC110" s="76">
        <f>($AC$10*0.2)/(MILK2024_Imperial!AT110)</f>
        <v>2.1952587200950457</v>
      </c>
      <c r="AD110" s="76">
        <f t="shared" si="59"/>
        <v>15.518325182771083</v>
      </c>
      <c r="AE110" s="76">
        <f t="shared" si="60"/>
        <v>3.2733558347128535</v>
      </c>
      <c r="AF110" s="46">
        <f>(AC110*MILK2024_Imperial!AT110)/1000</f>
        <v>6.0000000000000005E-2</v>
      </c>
      <c r="AG110" s="76">
        <f>(AD110*MILK2024_Imperial!AT110)/1000</f>
        <v>0.42414112853447733</v>
      </c>
      <c r="AH110" s="76">
        <f t="shared" si="61"/>
        <v>0.82301469114619663</v>
      </c>
      <c r="AI110" s="50">
        <f t="shared" si="62"/>
        <v>339.84845660228433</v>
      </c>
      <c r="AJ110" s="76">
        <f>(0.0146*AI110)/MILK2024_Imperial!AT110</f>
        <v>0.18154012004763848</v>
      </c>
      <c r="AK110" s="76">
        <f>(0.294*MILK2024_Imperial!AT110-0.347*(U110*0.3+MILK2024_Imperial!$U$17*0.7)+0.0409*(H110*0.3+$F$22*0.7))/MILK2024_Imperial!AT110</f>
        <v>0.28296826901575345</v>
      </c>
      <c r="AL110" s="76">
        <f t="shared" si="63"/>
        <v>2.8088474456494614</v>
      </c>
      <c r="AM110" s="76">
        <f t="shared" si="64"/>
        <v>1.8538393141286447</v>
      </c>
      <c r="AN110" s="76">
        <f t="shared" si="43"/>
        <v>33.538450980075311</v>
      </c>
      <c r="AO110" s="76">
        <f t="shared" si="65"/>
        <v>0.2972717251180757</v>
      </c>
      <c r="AP110" s="78">
        <f t="shared" si="66"/>
        <v>9.9700331806350047</v>
      </c>
      <c r="AQ110" s="78">
        <f t="shared" si="67"/>
        <v>0.8025160835789511</v>
      </c>
      <c r="AR110" s="78">
        <f t="shared" si="44"/>
        <v>13.473017811668925</v>
      </c>
      <c r="AS110" s="78">
        <f t="shared" si="68"/>
        <v>29.640639185671635</v>
      </c>
      <c r="AT110" s="78">
        <f t="shared" si="45"/>
        <v>27.331630413659056</v>
      </c>
      <c r="AU110" s="78">
        <f t="shared" si="69"/>
        <v>60.12958691004993</v>
      </c>
      <c r="AV110" s="78">
        <f t="shared" si="70"/>
        <v>18.038876073014979</v>
      </c>
      <c r="AW110" s="79">
        <f t="shared" si="46"/>
        <v>3286.3066485624522</v>
      </c>
      <c r="AX110" s="79">
        <f t="shared" si="47"/>
        <v>32863.06648562452</v>
      </c>
      <c r="AY110" s="30"/>
      <c r="AZ110" s="1"/>
    </row>
    <row r="111" spans="1:52" x14ac:dyDescent="0.2">
      <c r="A111" s="47" t="s">
        <v>266</v>
      </c>
      <c r="B111" s="47"/>
      <c r="C111" s="48">
        <v>10</v>
      </c>
      <c r="D111" s="48">
        <v>37.1</v>
      </c>
      <c r="E111" s="48">
        <v>76.8</v>
      </c>
      <c r="F111" s="48">
        <v>3.5</v>
      </c>
      <c r="G111" s="48">
        <v>7.4</v>
      </c>
      <c r="H111" s="80">
        <f>'Fiber_Ash Inputs'!V84</f>
        <v>35.6</v>
      </c>
      <c r="I111" s="80">
        <f>'Fiber_Ash Inputs'!W84</f>
        <v>64.2</v>
      </c>
      <c r="J111" s="80">
        <f>'Fiber_Ash Inputs'!X84</f>
        <v>7.9</v>
      </c>
      <c r="K111" s="80">
        <f>'Fiber_Ash Inputs'!U84</f>
        <v>3</v>
      </c>
      <c r="L111" s="76">
        <f t="shared" si="48"/>
        <v>24.35079535546226</v>
      </c>
      <c r="M111" s="76">
        <f t="shared" si="49"/>
        <v>94.616843393682686</v>
      </c>
      <c r="N111" s="76">
        <f t="shared" si="50"/>
        <v>22.191011235955056</v>
      </c>
      <c r="O111" s="76">
        <f t="shared" si="51"/>
        <v>22.191011235955056</v>
      </c>
      <c r="P111" s="76">
        <f>(100*((LN((100-O111)-I111)-4.6052)/-'Fiber_Ash Inputs'!$D$17))*'Fiber_Ash Inputs'!$C$17</f>
        <v>7.3869240261072449</v>
      </c>
      <c r="Q111" s="76">
        <f t="shared" si="52"/>
        <v>58.830414718402729</v>
      </c>
      <c r="R111" s="76">
        <f>IF('Fiber_Ash Inputs'!$B$11=30,MILK2024_Imperial!I111,IF('Fiber_Ash Inputs'!$B$11=48,MILK2024_Imperial!I111*0.926))</f>
        <v>64.2</v>
      </c>
      <c r="S111" s="76">
        <f t="shared" si="53"/>
        <v>5.6980000000000004</v>
      </c>
      <c r="T111" s="76">
        <f t="shared" si="54"/>
        <v>1.7094</v>
      </c>
      <c r="U111" s="46">
        <f t="shared" si="55"/>
        <v>2.5</v>
      </c>
      <c r="V111" s="77">
        <f t="shared" si="56"/>
        <v>14.399999999999997</v>
      </c>
      <c r="W111" s="76">
        <f>((G111*0.3+MILK2024_Imperial!$J$22*0.7)/100)*MILK2024_Imperial!AT111</f>
        <v>4.5856445751997779</v>
      </c>
      <c r="X111" s="76">
        <f>((S111*0.3+MILK2024_Imperial!$L$22*0.7)/100)*MILK2024_Imperial!AT111</f>
        <v>2.8283731001045389</v>
      </c>
      <c r="Y111" s="76">
        <f>((T111*0.3+MILK2024_Imperial!$M$22*0.7)/100)*MILK2024_Imperial!AT111</f>
        <v>1.4298208821942155</v>
      </c>
      <c r="Z111" s="76">
        <f t="shared" si="57"/>
        <v>3.4787109692996374</v>
      </c>
      <c r="AA111" s="76">
        <f t="shared" si="58"/>
        <v>1.0436132907898912</v>
      </c>
      <c r="AB111" s="76">
        <f>AA111+MILK2024_Imperial!$U$32</f>
        <v>3.5106375837640469</v>
      </c>
      <c r="AC111" s="76">
        <f>($AC$10*0.2)/(MILK2024_Imperial!AT111)</f>
        <v>2.1952587200950457</v>
      </c>
      <c r="AD111" s="76">
        <f t="shared" si="59"/>
        <v>15.518325182771083</v>
      </c>
      <c r="AE111" s="76">
        <f t="shared" si="60"/>
        <v>3.2733558347128535</v>
      </c>
      <c r="AF111" s="46">
        <f>(AC111*MILK2024_Imperial!AT111)/1000</f>
        <v>6.0000000000000005E-2</v>
      </c>
      <c r="AG111" s="76">
        <f>(AD111*MILK2024_Imperial!AT111)/1000</f>
        <v>0.42414112853447733</v>
      </c>
      <c r="AH111" s="76">
        <f t="shared" si="61"/>
        <v>0.82301469114619663</v>
      </c>
      <c r="AI111" s="50">
        <f t="shared" si="62"/>
        <v>339.84845660228433</v>
      </c>
      <c r="AJ111" s="76">
        <f>(0.0146*AI111)/MILK2024_Imperial!AT111</f>
        <v>0.18154012004763848</v>
      </c>
      <c r="AK111" s="76">
        <f>(0.294*MILK2024_Imperial!AT111-0.347*(U111*0.3+MILK2024_Imperial!$U$17*0.7)+0.0409*(H111*0.3+$F$22*0.7))/MILK2024_Imperial!AT111</f>
        <v>0.28296826901575345</v>
      </c>
      <c r="AL111" s="76">
        <f t="shared" si="63"/>
        <v>2.8088474456494614</v>
      </c>
      <c r="AM111" s="76">
        <f t="shared" si="64"/>
        <v>1.8538393141286447</v>
      </c>
      <c r="AN111" s="76">
        <f t="shared" si="43"/>
        <v>33.538450980075311</v>
      </c>
      <c r="AO111" s="76">
        <f t="shared" si="65"/>
        <v>0.2972717251180757</v>
      </c>
      <c r="AP111" s="78">
        <f t="shared" si="66"/>
        <v>9.9700331806350047</v>
      </c>
      <c r="AQ111" s="78">
        <f t="shared" si="67"/>
        <v>0.8025160835789511</v>
      </c>
      <c r="AR111" s="78">
        <f t="shared" si="44"/>
        <v>13.473017811668925</v>
      </c>
      <c r="AS111" s="78">
        <f t="shared" si="68"/>
        <v>29.640639185671635</v>
      </c>
      <c r="AT111" s="78">
        <f t="shared" si="45"/>
        <v>27.331630413659056</v>
      </c>
      <c r="AU111" s="78">
        <f t="shared" si="69"/>
        <v>60.12958691004993</v>
      </c>
      <c r="AV111" s="78">
        <f t="shared" si="70"/>
        <v>18.038876073014979</v>
      </c>
      <c r="AW111" s="79">
        <f t="shared" si="46"/>
        <v>3286.3066485624522</v>
      </c>
      <c r="AX111" s="79">
        <f t="shared" si="47"/>
        <v>32863.06648562452</v>
      </c>
      <c r="AY111" s="30"/>
      <c r="AZ111" s="1"/>
    </row>
    <row r="112" spans="1:52" x14ac:dyDescent="0.2">
      <c r="A112" s="47" t="s">
        <v>267</v>
      </c>
      <c r="B112" s="47"/>
      <c r="C112" s="48">
        <v>10</v>
      </c>
      <c r="D112" s="48">
        <v>37.1</v>
      </c>
      <c r="E112" s="48">
        <v>76.8</v>
      </c>
      <c r="F112" s="48">
        <v>3.5</v>
      </c>
      <c r="G112" s="48">
        <v>7.4</v>
      </c>
      <c r="H112" s="80">
        <f>'Fiber_Ash Inputs'!V85</f>
        <v>35.6</v>
      </c>
      <c r="I112" s="80">
        <f>'Fiber_Ash Inputs'!W85</f>
        <v>64.2</v>
      </c>
      <c r="J112" s="80">
        <f>'Fiber_Ash Inputs'!X85</f>
        <v>7.9</v>
      </c>
      <c r="K112" s="80">
        <f>'Fiber_Ash Inputs'!U85</f>
        <v>3.8</v>
      </c>
      <c r="L112" s="76">
        <f t="shared" si="48"/>
        <v>24.35079535546226</v>
      </c>
      <c r="M112" s="76">
        <f t="shared" si="49"/>
        <v>94.616843393682686</v>
      </c>
      <c r="N112" s="76">
        <f t="shared" si="50"/>
        <v>22.191011235955056</v>
      </c>
      <c r="O112" s="76">
        <f t="shared" si="51"/>
        <v>22.191011235955056</v>
      </c>
      <c r="P112" s="76">
        <f>(100*((LN((100-O112)-I112)-4.6052)/-'Fiber_Ash Inputs'!$D$17))*'Fiber_Ash Inputs'!$C$17</f>
        <v>7.3869240261072449</v>
      </c>
      <c r="Q112" s="76">
        <f t="shared" si="52"/>
        <v>58.830414718402729</v>
      </c>
      <c r="R112" s="76">
        <f>IF('Fiber_Ash Inputs'!$B$11=30,MILK2024_Imperial!I112,IF('Fiber_Ash Inputs'!$B$11=48,MILK2024_Imperial!I112*0.926))</f>
        <v>64.2</v>
      </c>
      <c r="S112" s="76">
        <f t="shared" si="53"/>
        <v>5.6980000000000004</v>
      </c>
      <c r="T112" s="76">
        <f t="shared" si="54"/>
        <v>1.7094</v>
      </c>
      <c r="U112" s="46">
        <f t="shared" si="55"/>
        <v>2.5</v>
      </c>
      <c r="V112" s="77">
        <f t="shared" si="56"/>
        <v>13.6</v>
      </c>
      <c r="W112" s="76">
        <f>((G112*0.3+MILK2024_Imperial!$J$22*0.7)/100)*MILK2024_Imperial!AT112</f>
        <v>4.5856445751997779</v>
      </c>
      <c r="X112" s="76">
        <f>((S112*0.3+MILK2024_Imperial!$L$22*0.7)/100)*MILK2024_Imperial!AT112</f>
        <v>2.8283731001045389</v>
      </c>
      <c r="Y112" s="76">
        <f>((T112*0.3+MILK2024_Imperial!$M$22*0.7)/100)*MILK2024_Imperial!AT112</f>
        <v>1.4298208821942155</v>
      </c>
      <c r="Z112" s="76">
        <f t="shared" si="57"/>
        <v>3.4495909692996376</v>
      </c>
      <c r="AA112" s="76">
        <f t="shared" si="58"/>
        <v>1.0348772907898913</v>
      </c>
      <c r="AB112" s="76">
        <f>AA112+MILK2024_Imperial!$U$32</f>
        <v>3.501901583764047</v>
      </c>
      <c r="AC112" s="76">
        <f>($AC$10*0.2)/(MILK2024_Imperial!AT112)</f>
        <v>2.1952587200950457</v>
      </c>
      <c r="AD112" s="76">
        <f t="shared" si="59"/>
        <v>15.518325182771083</v>
      </c>
      <c r="AE112" s="76">
        <f t="shared" si="60"/>
        <v>3.2646198347128537</v>
      </c>
      <c r="AF112" s="46">
        <f>(AC112*MILK2024_Imperial!AT112)/1000</f>
        <v>6.0000000000000005E-2</v>
      </c>
      <c r="AG112" s="76">
        <f>(AD112*MILK2024_Imperial!AT112)/1000</f>
        <v>0.42414112853447733</v>
      </c>
      <c r="AH112" s="76">
        <f t="shared" si="61"/>
        <v>0.82301469114619663</v>
      </c>
      <c r="AI112" s="50">
        <f t="shared" si="62"/>
        <v>339.84845660228433</v>
      </c>
      <c r="AJ112" s="76">
        <f>(0.0146*AI112)/MILK2024_Imperial!AT112</f>
        <v>0.18154012004763848</v>
      </c>
      <c r="AK112" s="76">
        <f>(0.294*MILK2024_Imperial!AT112-0.347*(U112*0.3+MILK2024_Imperial!$U$17*0.7)+0.0409*(H112*0.3+$F$22*0.7))/MILK2024_Imperial!AT112</f>
        <v>0.28296826901575345</v>
      </c>
      <c r="AL112" s="76">
        <f t="shared" si="63"/>
        <v>2.8001114456494616</v>
      </c>
      <c r="AM112" s="76">
        <f t="shared" si="64"/>
        <v>1.8480735541286448</v>
      </c>
      <c r="AN112" s="76">
        <f t="shared" si="43"/>
        <v>33.380863358701461</v>
      </c>
      <c r="AO112" s="76">
        <f t="shared" si="65"/>
        <v>0.29551866779692454</v>
      </c>
      <c r="AP112" s="78">
        <f t="shared" si="66"/>
        <v>9.8646682696746275</v>
      </c>
      <c r="AQ112" s="78">
        <f t="shared" si="67"/>
        <v>0.79403496479443159</v>
      </c>
      <c r="AR112" s="78">
        <f t="shared" si="44"/>
        <v>13.330632796857605</v>
      </c>
      <c r="AS112" s="78">
        <f t="shared" si="68"/>
        <v>29.327392153086734</v>
      </c>
      <c r="AT112" s="78">
        <f t="shared" si="45"/>
        <v>27.331630413659056</v>
      </c>
      <c r="AU112" s="78">
        <f t="shared" si="69"/>
        <v>60.12958691004993</v>
      </c>
      <c r="AV112" s="78">
        <f t="shared" si="70"/>
        <v>18.038876073014979</v>
      </c>
      <c r="AW112" s="79">
        <f t="shared" si="46"/>
        <v>3251.576432409629</v>
      </c>
      <c r="AX112" s="79">
        <f t="shared" si="47"/>
        <v>32515.76432409629</v>
      </c>
      <c r="AY112" s="30"/>
      <c r="AZ112" s="1"/>
    </row>
    <row r="113" spans="1:52" x14ac:dyDescent="0.2">
      <c r="A113" s="47" t="s">
        <v>268</v>
      </c>
      <c r="B113" s="47"/>
      <c r="C113" s="48">
        <v>10</v>
      </c>
      <c r="D113" s="48">
        <v>37.1</v>
      </c>
      <c r="E113" s="48">
        <v>76.8</v>
      </c>
      <c r="F113" s="48">
        <v>3.5</v>
      </c>
      <c r="G113" s="48">
        <v>7.4</v>
      </c>
      <c r="H113" s="80">
        <f>'Fiber_Ash Inputs'!V86</f>
        <v>35.6</v>
      </c>
      <c r="I113" s="80">
        <f>'Fiber_Ash Inputs'!W86</f>
        <v>64.2</v>
      </c>
      <c r="J113" s="80">
        <f>'Fiber_Ash Inputs'!X86</f>
        <v>7.9</v>
      </c>
      <c r="K113" s="80">
        <f>'Fiber_Ash Inputs'!U86</f>
        <v>3</v>
      </c>
      <c r="L113" s="76">
        <f t="shared" si="48"/>
        <v>24.35079535546226</v>
      </c>
      <c r="M113" s="76">
        <f t="shared" si="49"/>
        <v>94.616843393682686</v>
      </c>
      <c r="N113" s="76">
        <f t="shared" si="50"/>
        <v>22.191011235955056</v>
      </c>
      <c r="O113" s="76">
        <f t="shared" si="51"/>
        <v>22.191011235955056</v>
      </c>
      <c r="P113" s="76">
        <f>(100*((LN((100-O113)-I113)-4.6052)/-'Fiber_Ash Inputs'!$D$17))*'Fiber_Ash Inputs'!$C$17</f>
        <v>7.3869240261072449</v>
      </c>
      <c r="Q113" s="76">
        <f t="shared" si="52"/>
        <v>58.830414718402729</v>
      </c>
      <c r="R113" s="76">
        <f>IF('Fiber_Ash Inputs'!$B$11=30,MILK2024_Imperial!I113,IF('Fiber_Ash Inputs'!$B$11=48,MILK2024_Imperial!I113*0.926))</f>
        <v>64.2</v>
      </c>
      <c r="S113" s="76">
        <f t="shared" si="53"/>
        <v>5.6980000000000004</v>
      </c>
      <c r="T113" s="76">
        <f t="shared" si="54"/>
        <v>1.7094</v>
      </c>
      <c r="U113" s="46">
        <f t="shared" si="55"/>
        <v>2.5</v>
      </c>
      <c r="V113" s="77">
        <f t="shared" si="56"/>
        <v>14.399999999999997</v>
      </c>
      <c r="W113" s="76">
        <f>((G113*0.3+MILK2024_Imperial!$J$22*0.7)/100)*MILK2024_Imperial!AT113</f>
        <v>4.5856445751997779</v>
      </c>
      <c r="X113" s="76">
        <f>((S113*0.3+MILK2024_Imperial!$L$22*0.7)/100)*MILK2024_Imperial!AT113</f>
        <v>2.8283731001045389</v>
      </c>
      <c r="Y113" s="76">
        <f>((T113*0.3+MILK2024_Imperial!$M$22*0.7)/100)*MILK2024_Imperial!AT113</f>
        <v>1.4298208821942155</v>
      </c>
      <c r="Z113" s="76">
        <f t="shared" si="57"/>
        <v>3.4787109692996374</v>
      </c>
      <c r="AA113" s="76">
        <f t="shared" si="58"/>
        <v>1.0436132907898912</v>
      </c>
      <c r="AB113" s="76">
        <f>AA113+MILK2024_Imperial!$U$32</f>
        <v>3.5106375837640469</v>
      </c>
      <c r="AC113" s="76">
        <f>($AC$10*0.2)/(MILK2024_Imperial!AT113)</f>
        <v>2.1952587200950457</v>
      </c>
      <c r="AD113" s="76">
        <f t="shared" si="59"/>
        <v>15.518325182771083</v>
      </c>
      <c r="AE113" s="76">
        <f t="shared" si="60"/>
        <v>3.2733558347128535</v>
      </c>
      <c r="AF113" s="46">
        <f>(AC113*MILK2024_Imperial!AT113)/1000</f>
        <v>6.0000000000000005E-2</v>
      </c>
      <c r="AG113" s="76">
        <f>(AD113*MILK2024_Imperial!AT113)/1000</f>
        <v>0.42414112853447733</v>
      </c>
      <c r="AH113" s="76">
        <f t="shared" si="61"/>
        <v>0.82301469114619663</v>
      </c>
      <c r="AI113" s="50">
        <f t="shared" si="62"/>
        <v>339.84845660228433</v>
      </c>
      <c r="AJ113" s="76">
        <f>(0.0146*AI113)/MILK2024_Imperial!AT113</f>
        <v>0.18154012004763848</v>
      </c>
      <c r="AK113" s="76">
        <f>(0.294*MILK2024_Imperial!AT113-0.347*(U113*0.3+MILK2024_Imperial!$U$17*0.7)+0.0409*(H113*0.3+$F$22*0.7))/MILK2024_Imperial!AT113</f>
        <v>0.28296826901575345</v>
      </c>
      <c r="AL113" s="76">
        <f t="shared" si="63"/>
        <v>2.8088474456494614</v>
      </c>
      <c r="AM113" s="76">
        <f t="shared" si="64"/>
        <v>1.8538393141286447</v>
      </c>
      <c r="AN113" s="76">
        <f t="shared" si="43"/>
        <v>33.538450980075311</v>
      </c>
      <c r="AO113" s="76">
        <f t="shared" si="65"/>
        <v>0.2972717251180757</v>
      </c>
      <c r="AP113" s="78">
        <f t="shared" si="66"/>
        <v>9.9700331806350047</v>
      </c>
      <c r="AQ113" s="78">
        <f t="shared" si="67"/>
        <v>0.8025160835789511</v>
      </c>
      <c r="AR113" s="78">
        <f t="shared" si="44"/>
        <v>13.473017811668925</v>
      </c>
      <c r="AS113" s="78">
        <f t="shared" si="68"/>
        <v>29.640639185671635</v>
      </c>
      <c r="AT113" s="78">
        <f t="shared" si="45"/>
        <v>27.331630413659056</v>
      </c>
      <c r="AU113" s="78">
        <f t="shared" si="69"/>
        <v>60.12958691004993</v>
      </c>
      <c r="AV113" s="78">
        <f t="shared" si="70"/>
        <v>18.038876073014979</v>
      </c>
      <c r="AW113" s="79">
        <f t="shared" si="46"/>
        <v>3286.3066485624522</v>
      </c>
      <c r="AX113" s="79">
        <f t="shared" si="47"/>
        <v>32863.06648562452</v>
      </c>
      <c r="AY113" s="30"/>
      <c r="AZ113" s="1"/>
    </row>
    <row r="114" spans="1:52" x14ac:dyDescent="0.2">
      <c r="A114" s="47" t="s">
        <v>269</v>
      </c>
      <c r="B114" s="47"/>
      <c r="C114" s="48">
        <v>10</v>
      </c>
      <c r="D114" s="48">
        <v>37.1</v>
      </c>
      <c r="E114" s="48">
        <v>76.8</v>
      </c>
      <c r="F114" s="48">
        <v>3.5</v>
      </c>
      <c r="G114" s="48">
        <v>7.4</v>
      </c>
      <c r="H114" s="80">
        <f>'Fiber_Ash Inputs'!V87</f>
        <v>35.6</v>
      </c>
      <c r="I114" s="80">
        <f>'Fiber_Ash Inputs'!W87</f>
        <v>64.2</v>
      </c>
      <c r="J114" s="80">
        <f>'Fiber_Ash Inputs'!X87</f>
        <v>7.9</v>
      </c>
      <c r="K114" s="80">
        <f>'Fiber_Ash Inputs'!U87</f>
        <v>3</v>
      </c>
      <c r="L114" s="76">
        <f t="shared" si="48"/>
        <v>24.35079535546226</v>
      </c>
      <c r="M114" s="76">
        <f t="shared" si="49"/>
        <v>94.616843393682686</v>
      </c>
      <c r="N114" s="76">
        <f t="shared" si="50"/>
        <v>22.191011235955056</v>
      </c>
      <c r="O114" s="76">
        <f t="shared" si="51"/>
        <v>22.191011235955056</v>
      </c>
      <c r="P114" s="76">
        <f>(100*((LN((100-O114)-I114)-4.6052)/-'Fiber_Ash Inputs'!$D$17))*'Fiber_Ash Inputs'!$C$17</f>
        <v>7.3869240261072449</v>
      </c>
      <c r="Q114" s="76">
        <f t="shared" si="52"/>
        <v>58.830414718402729</v>
      </c>
      <c r="R114" s="76">
        <f>IF('Fiber_Ash Inputs'!$B$11=30,MILK2024_Imperial!I114,IF('Fiber_Ash Inputs'!$B$11=48,MILK2024_Imperial!I114*0.926))</f>
        <v>64.2</v>
      </c>
      <c r="S114" s="76">
        <f t="shared" si="53"/>
        <v>5.6980000000000004</v>
      </c>
      <c r="T114" s="76">
        <f t="shared" si="54"/>
        <v>1.7094</v>
      </c>
      <c r="U114" s="46">
        <f t="shared" si="55"/>
        <v>2.5</v>
      </c>
      <c r="V114" s="77">
        <f t="shared" si="56"/>
        <v>14.399999999999997</v>
      </c>
      <c r="W114" s="76">
        <f>((G114*0.3+MILK2024_Imperial!$J$22*0.7)/100)*MILK2024_Imperial!AT114</f>
        <v>4.5856445751997779</v>
      </c>
      <c r="X114" s="76">
        <f>((S114*0.3+MILK2024_Imperial!$L$22*0.7)/100)*MILK2024_Imperial!AT114</f>
        <v>2.8283731001045389</v>
      </c>
      <c r="Y114" s="76">
        <f>((T114*0.3+MILK2024_Imperial!$M$22*0.7)/100)*MILK2024_Imperial!AT114</f>
        <v>1.4298208821942155</v>
      </c>
      <c r="Z114" s="76">
        <f t="shared" si="57"/>
        <v>3.4787109692996374</v>
      </c>
      <c r="AA114" s="76">
        <f t="shared" si="58"/>
        <v>1.0436132907898912</v>
      </c>
      <c r="AB114" s="76">
        <f>AA114+MILK2024_Imperial!$U$32</f>
        <v>3.5106375837640469</v>
      </c>
      <c r="AC114" s="76">
        <f>($AC$10*0.2)/(MILK2024_Imperial!AT114)</f>
        <v>2.1952587200950457</v>
      </c>
      <c r="AD114" s="76">
        <f t="shared" si="59"/>
        <v>15.518325182771083</v>
      </c>
      <c r="AE114" s="76">
        <f t="shared" si="60"/>
        <v>3.2733558347128535</v>
      </c>
      <c r="AF114" s="46">
        <f>(AC114*MILK2024_Imperial!AT114)/1000</f>
        <v>6.0000000000000005E-2</v>
      </c>
      <c r="AG114" s="76">
        <f>(AD114*MILK2024_Imperial!AT114)/1000</f>
        <v>0.42414112853447733</v>
      </c>
      <c r="AH114" s="76">
        <f t="shared" si="61"/>
        <v>0.82301469114619663</v>
      </c>
      <c r="AI114" s="50">
        <f t="shared" si="62"/>
        <v>339.84845660228433</v>
      </c>
      <c r="AJ114" s="76">
        <f>(0.0146*AI114)/MILK2024_Imperial!AT114</f>
        <v>0.18154012004763848</v>
      </c>
      <c r="AK114" s="76">
        <f>(0.294*MILK2024_Imperial!AT114-0.347*(U114*0.3+MILK2024_Imperial!$U$17*0.7)+0.0409*(H114*0.3+$F$22*0.7))/MILK2024_Imperial!AT114</f>
        <v>0.28296826901575345</v>
      </c>
      <c r="AL114" s="76">
        <f t="shared" si="63"/>
        <v>2.8088474456494614</v>
      </c>
      <c r="AM114" s="76">
        <f t="shared" si="64"/>
        <v>1.8538393141286447</v>
      </c>
      <c r="AN114" s="76">
        <f t="shared" si="43"/>
        <v>33.538450980075311</v>
      </c>
      <c r="AO114" s="76">
        <f t="shared" si="65"/>
        <v>0.2972717251180757</v>
      </c>
      <c r="AP114" s="78">
        <f t="shared" si="66"/>
        <v>9.9700331806350047</v>
      </c>
      <c r="AQ114" s="78">
        <f t="shared" si="67"/>
        <v>0.8025160835789511</v>
      </c>
      <c r="AR114" s="78">
        <f t="shared" si="44"/>
        <v>13.473017811668925</v>
      </c>
      <c r="AS114" s="78">
        <f t="shared" si="68"/>
        <v>29.640639185671635</v>
      </c>
      <c r="AT114" s="78">
        <f t="shared" si="45"/>
        <v>27.331630413659056</v>
      </c>
      <c r="AU114" s="78">
        <f t="shared" si="69"/>
        <v>60.12958691004993</v>
      </c>
      <c r="AV114" s="78">
        <f t="shared" si="70"/>
        <v>18.038876073014979</v>
      </c>
      <c r="AW114" s="79">
        <f t="shared" si="46"/>
        <v>3286.3066485624522</v>
      </c>
      <c r="AX114" s="79">
        <f t="shared" si="47"/>
        <v>32863.06648562452</v>
      </c>
      <c r="AY114" s="30"/>
      <c r="AZ114" s="1"/>
    </row>
    <row r="115" spans="1:52" x14ac:dyDescent="0.2">
      <c r="A115" s="47" t="s">
        <v>270</v>
      </c>
      <c r="B115" s="47"/>
      <c r="C115" s="48">
        <v>10</v>
      </c>
      <c r="D115" s="48">
        <v>37.1</v>
      </c>
      <c r="E115" s="48">
        <v>76.8</v>
      </c>
      <c r="F115" s="48">
        <v>3.5</v>
      </c>
      <c r="G115" s="48">
        <v>7.4</v>
      </c>
      <c r="H115" s="80">
        <f>'Fiber_Ash Inputs'!V88</f>
        <v>35.6</v>
      </c>
      <c r="I115" s="80">
        <f>'Fiber_Ash Inputs'!W88</f>
        <v>64.2</v>
      </c>
      <c r="J115" s="80">
        <f>'Fiber_Ash Inputs'!X88</f>
        <v>7.9</v>
      </c>
      <c r="K115" s="80">
        <f>'Fiber_Ash Inputs'!U88</f>
        <v>3</v>
      </c>
      <c r="L115" s="76">
        <f t="shared" si="48"/>
        <v>24.35079535546226</v>
      </c>
      <c r="M115" s="76">
        <f t="shared" si="49"/>
        <v>94.616843393682686</v>
      </c>
      <c r="N115" s="76">
        <f t="shared" si="50"/>
        <v>22.191011235955056</v>
      </c>
      <c r="O115" s="76">
        <f t="shared" si="51"/>
        <v>22.191011235955056</v>
      </c>
      <c r="P115" s="76">
        <f>(100*((LN((100-O115)-I115)-4.6052)/-'Fiber_Ash Inputs'!$D$17))*'Fiber_Ash Inputs'!$C$17</f>
        <v>7.3869240261072449</v>
      </c>
      <c r="Q115" s="76">
        <f t="shared" si="52"/>
        <v>58.830414718402729</v>
      </c>
      <c r="R115" s="76">
        <f>IF('Fiber_Ash Inputs'!$B$11=30,MILK2024_Imperial!I115,IF('Fiber_Ash Inputs'!$B$11=48,MILK2024_Imperial!I115*0.926))</f>
        <v>64.2</v>
      </c>
      <c r="S115" s="76">
        <f t="shared" si="53"/>
        <v>5.6980000000000004</v>
      </c>
      <c r="T115" s="76">
        <f t="shared" si="54"/>
        <v>1.7094</v>
      </c>
      <c r="U115" s="46">
        <f t="shared" si="55"/>
        <v>2.5</v>
      </c>
      <c r="V115" s="77">
        <f t="shared" si="56"/>
        <v>14.399999999999997</v>
      </c>
      <c r="W115" s="76">
        <f>((G115*0.3+MILK2024_Imperial!$J$22*0.7)/100)*MILK2024_Imperial!AT115</f>
        <v>4.5856445751997779</v>
      </c>
      <c r="X115" s="76">
        <f>((S115*0.3+MILK2024_Imperial!$L$22*0.7)/100)*MILK2024_Imperial!AT115</f>
        <v>2.8283731001045389</v>
      </c>
      <c r="Y115" s="76">
        <f>((T115*0.3+MILK2024_Imperial!$M$22*0.7)/100)*MILK2024_Imperial!AT115</f>
        <v>1.4298208821942155</v>
      </c>
      <c r="Z115" s="76">
        <f t="shared" si="57"/>
        <v>3.4787109692996374</v>
      </c>
      <c r="AA115" s="76">
        <f t="shared" si="58"/>
        <v>1.0436132907898912</v>
      </c>
      <c r="AB115" s="76">
        <f>AA115+MILK2024_Imperial!$U$32</f>
        <v>3.5106375837640469</v>
      </c>
      <c r="AC115" s="76">
        <f>($AC$10*0.2)/(MILK2024_Imperial!AT115)</f>
        <v>2.1952587200950457</v>
      </c>
      <c r="AD115" s="76">
        <f t="shared" si="59"/>
        <v>15.518325182771083</v>
      </c>
      <c r="AE115" s="76">
        <f t="shared" si="60"/>
        <v>3.2733558347128535</v>
      </c>
      <c r="AF115" s="46">
        <f>(AC115*MILK2024_Imperial!AT115)/1000</f>
        <v>6.0000000000000005E-2</v>
      </c>
      <c r="AG115" s="76">
        <f>(AD115*MILK2024_Imperial!AT115)/1000</f>
        <v>0.42414112853447733</v>
      </c>
      <c r="AH115" s="76">
        <f t="shared" si="61"/>
        <v>0.82301469114619663</v>
      </c>
      <c r="AI115" s="50">
        <f t="shared" si="62"/>
        <v>339.84845660228433</v>
      </c>
      <c r="AJ115" s="76">
        <f>(0.0146*AI115)/MILK2024_Imperial!AT115</f>
        <v>0.18154012004763848</v>
      </c>
      <c r="AK115" s="76">
        <f>(0.294*MILK2024_Imperial!AT115-0.347*(U115*0.3+MILK2024_Imperial!$U$17*0.7)+0.0409*(H115*0.3+$F$22*0.7))/MILK2024_Imperial!AT115</f>
        <v>0.28296826901575345</v>
      </c>
      <c r="AL115" s="76">
        <f t="shared" si="63"/>
        <v>2.8088474456494614</v>
      </c>
      <c r="AM115" s="76">
        <f t="shared" si="64"/>
        <v>1.8538393141286447</v>
      </c>
      <c r="AN115" s="76">
        <f t="shared" si="43"/>
        <v>33.538450980075311</v>
      </c>
      <c r="AO115" s="76">
        <f t="shared" si="65"/>
        <v>0.2972717251180757</v>
      </c>
      <c r="AP115" s="78">
        <f t="shared" si="66"/>
        <v>9.9700331806350047</v>
      </c>
      <c r="AQ115" s="78">
        <f t="shared" si="67"/>
        <v>0.8025160835789511</v>
      </c>
      <c r="AR115" s="78">
        <f t="shared" si="44"/>
        <v>13.473017811668925</v>
      </c>
      <c r="AS115" s="78">
        <f t="shared" si="68"/>
        <v>29.640639185671635</v>
      </c>
      <c r="AT115" s="78">
        <f t="shared" si="45"/>
        <v>27.331630413659056</v>
      </c>
      <c r="AU115" s="78">
        <f t="shared" si="69"/>
        <v>60.12958691004993</v>
      </c>
      <c r="AV115" s="78">
        <f t="shared" si="70"/>
        <v>18.038876073014979</v>
      </c>
      <c r="AW115" s="79">
        <f t="shared" si="46"/>
        <v>3286.3066485624522</v>
      </c>
      <c r="AX115" s="79">
        <f t="shared" si="47"/>
        <v>32863.06648562452</v>
      </c>
      <c r="AY115" s="30"/>
      <c r="AZ115" s="1"/>
    </row>
    <row r="116" spans="1:52" x14ac:dyDescent="0.2">
      <c r="A116" s="47" t="s">
        <v>271</v>
      </c>
      <c r="B116" s="47"/>
      <c r="C116" s="48">
        <v>10</v>
      </c>
      <c r="D116" s="48">
        <v>37.1</v>
      </c>
      <c r="E116" s="48">
        <v>76.8</v>
      </c>
      <c r="F116" s="48">
        <v>3.5</v>
      </c>
      <c r="G116" s="48">
        <v>7.4</v>
      </c>
      <c r="H116" s="80">
        <f>'Fiber_Ash Inputs'!V89</f>
        <v>35.6</v>
      </c>
      <c r="I116" s="80">
        <f>'Fiber_Ash Inputs'!W89</f>
        <v>64.2</v>
      </c>
      <c r="J116" s="80">
        <f>'Fiber_Ash Inputs'!X89</f>
        <v>7.9</v>
      </c>
      <c r="K116" s="80">
        <f>'Fiber_Ash Inputs'!U89</f>
        <v>3</v>
      </c>
      <c r="L116" s="76">
        <f t="shared" si="48"/>
        <v>24.35079535546226</v>
      </c>
      <c r="M116" s="76">
        <f t="shared" si="49"/>
        <v>94.616843393682686</v>
      </c>
      <c r="N116" s="76">
        <f t="shared" si="50"/>
        <v>22.191011235955056</v>
      </c>
      <c r="O116" s="76">
        <f t="shared" si="51"/>
        <v>22.191011235955056</v>
      </c>
      <c r="P116" s="76">
        <f>(100*((LN((100-O116)-I116)-4.6052)/-'Fiber_Ash Inputs'!$D$17))*'Fiber_Ash Inputs'!$C$17</f>
        <v>7.3869240261072449</v>
      </c>
      <c r="Q116" s="76">
        <f t="shared" si="52"/>
        <v>58.830414718402729</v>
      </c>
      <c r="R116" s="76">
        <f>IF('Fiber_Ash Inputs'!$B$11=30,MILK2024_Imperial!I116,IF('Fiber_Ash Inputs'!$B$11=48,MILK2024_Imperial!I116*0.926))</f>
        <v>64.2</v>
      </c>
      <c r="S116" s="76">
        <f t="shared" si="53"/>
        <v>5.6980000000000004</v>
      </c>
      <c r="T116" s="76">
        <f t="shared" si="54"/>
        <v>1.7094</v>
      </c>
      <c r="U116" s="46">
        <f t="shared" si="55"/>
        <v>2.5</v>
      </c>
      <c r="V116" s="77">
        <f t="shared" si="56"/>
        <v>14.399999999999997</v>
      </c>
      <c r="W116" s="76">
        <f>((G116*0.3+MILK2024_Imperial!$J$22*0.7)/100)*MILK2024_Imperial!AT116</f>
        <v>4.5856445751997779</v>
      </c>
      <c r="X116" s="76">
        <f>((S116*0.3+MILK2024_Imperial!$L$22*0.7)/100)*MILK2024_Imperial!AT116</f>
        <v>2.8283731001045389</v>
      </c>
      <c r="Y116" s="76">
        <f>((T116*0.3+MILK2024_Imperial!$M$22*0.7)/100)*MILK2024_Imperial!AT116</f>
        <v>1.4298208821942155</v>
      </c>
      <c r="Z116" s="76">
        <f t="shared" si="57"/>
        <v>3.4787109692996374</v>
      </c>
      <c r="AA116" s="76">
        <f t="shared" si="58"/>
        <v>1.0436132907898912</v>
      </c>
      <c r="AB116" s="76">
        <f>AA116+MILK2024_Imperial!$U$32</f>
        <v>3.5106375837640469</v>
      </c>
      <c r="AC116" s="76">
        <f>($AC$10*0.2)/(MILK2024_Imperial!AT116)</f>
        <v>2.1952587200950457</v>
      </c>
      <c r="AD116" s="76">
        <f t="shared" si="59"/>
        <v>15.518325182771083</v>
      </c>
      <c r="AE116" s="76">
        <f t="shared" si="60"/>
        <v>3.2733558347128535</v>
      </c>
      <c r="AF116" s="46">
        <f>(AC116*MILK2024_Imperial!AT116)/1000</f>
        <v>6.0000000000000005E-2</v>
      </c>
      <c r="AG116" s="76">
        <f>(AD116*MILK2024_Imperial!AT116)/1000</f>
        <v>0.42414112853447733</v>
      </c>
      <c r="AH116" s="76">
        <f t="shared" si="61"/>
        <v>0.82301469114619663</v>
      </c>
      <c r="AI116" s="50">
        <f t="shared" si="62"/>
        <v>339.84845660228433</v>
      </c>
      <c r="AJ116" s="76">
        <f>(0.0146*AI116)/MILK2024_Imperial!AT116</f>
        <v>0.18154012004763848</v>
      </c>
      <c r="AK116" s="76">
        <f>(0.294*MILK2024_Imperial!AT116-0.347*(U116*0.3+MILK2024_Imperial!$U$17*0.7)+0.0409*(H116*0.3+$F$22*0.7))/MILK2024_Imperial!AT116</f>
        <v>0.28296826901575345</v>
      </c>
      <c r="AL116" s="76">
        <f t="shared" si="63"/>
        <v>2.8088474456494614</v>
      </c>
      <c r="AM116" s="76">
        <f t="shared" si="64"/>
        <v>1.8538393141286447</v>
      </c>
      <c r="AN116" s="76">
        <f t="shared" si="43"/>
        <v>33.538450980075311</v>
      </c>
      <c r="AO116" s="76">
        <f t="shared" si="65"/>
        <v>0.2972717251180757</v>
      </c>
      <c r="AP116" s="78">
        <f t="shared" si="66"/>
        <v>9.9700331806350047</v>
      </c>
      <c r="AQ116" s="78">
        <f t="shared" si="67"/>
        <v>0.8025160835789511</v>
      </c>
      <c r="AR116" s="78">
        <f t="shared" si="44"/>
        <v>13.473017811668925</v>
      </c>
      <c r="AS116" s="78">
        <f t="shared" si="68"/>
        <v>29.640639185671635</v>
      </c>
      <c r="AT116" s="78">
        <f t="shared" si="45"/>
        <v>27.331630413659056</v>
      </c>
      <c r="AU116" s="78">
        <f t="shared" si="69"/>
        <v>60.12958691004993</v>
      </c>
      <c r="AV116" s="78">
        <f t="shared" si="70"/>
        <v>18.038876073014979</v>
      </c>
      <c r="AW116" s="79">
        <f t="shared" si="46"/>
        <v>3286.3066485624522</v>
      </c>
      <c r="AX116" s="79">
        <f t="shared" si="47"/>
        <v>32863.06648562452</v>
      </c>
      <c r="AY116" s="30"/>
      <c r="AZ116" s="1"/>
    </row>
    <row r="117" spans="1:52" x14ac:dyDescent="0.2">
      <c r="A117" s="47" t="s">
        <v>272</v>
      </c>
      <c r="B117" s="47"/>
      <c r="C117" s="48">
        <v>10</v>
      </c>
      <c r="D117" s="48">
        <v>37.1</v>
      </c>
      <c r="E117" s="48">
        <v>76.8</v>
      </c>
      <c r="F117" s="48">
        <v>3.5</v>
      </c>
      <c r="G117" s="48">
        <v>7.4</v>
      </c>
      <c r="H117" s="80">
        <f>'Fiber_Ash Inputs'!V90</f>
        <v>35.6</v>
      </c>
      <c r="I117" s="80">
        <f>'Fiber_Ash Inputs'!W90</f>
        <v>64.2</v>
      </c>
      <c r="J117" s="80">
        <f>'Fiber_Ash Inputs'!X90</f>
        <v>7.9</v>
      </c>
      <c r="K117" s="80">
        <f>'Fiber_Ash Inputs'!U90</f>
        <v>3</v>
      </c>
      <c r="L117" s="76">
        <f t="shared" si="48"/>
        <v>24.35079535546226</v>
      </c>
      <c r="M117" s="76">
        <f t="shared" si="49"/>
        <v>94.616843393682686</v>
      </c>
      <c r="N117" s="76">
        <f t="shared" si="50"/>
        <v>22.191011235955056</v>
      </c>
      <c r="O117" s="76">
        <f t="shared" si="51"/>
        <v>22.191011235955056</v>
      </c>
      <c r="P117" s="76">
        <f>(100*((LN((100-O117)-I117)-4.6052)/-'Fiber_Ash Inputs'!$D$17))*'Fiber_Ash Inputs'!$C$17</f>
        <v>7.3869240261072449</v>
      </c>
      <c r="Q117" s="76">
        <f t="shared" si="52"/>
        <v>58.830414718402729</v>
      </c>
      <c r="R117" s="76">
        <f>IF('Fiber_Ash Inputs'!$B$11=30,MILK2024_Imperial!I117,IF('Fiber_Ash Inputs'!$B$11=48,MILK2024_Imperial!I117*0.926))</f>
        <v>64.2</v>
      </c>
      <c r="S117" s="76">
        <f t="shared" si="53"/>
        <v>5.6980000000000004</v>
      </c>
      <c r="T117" s="76">
        <f t="shared" si="54"/>
        <v>1.7094</v>
      </c>
      <c r="U117" s="46">
        <f t="shared" si="55"/>
        <v>2.5</v>
      </c>
      <c r="V117" s="77">
        <f t="shared" si="56"/>
        <v>14.399999999999997</v>
      </c>
      <c r="W117" s="76">
        <f>((G117*0.3+MILK2024_Imperial!$J$22*0.7)/100)*MILK2024_Imperial!AT117</f>
        <v>4.5856445751997779</v>
      </c>
      <c r="X117" s="76">
        <f>((S117*0.3+MILK2024_Imperial!$L$22*0.7)/100)*MILK2024_Imperial!AT117</f>
        <v>2.8283731001045389</v>
      </c>
      <c r="Y117" s="76">
        <f>((T117*0.3+MILK2024_Imperial!$M$22*0.7)/100)*MILK2024_Imperial!AT117</f>
        <v>1.4298208821942155</v>
      </c>
      <c r="Z117" s="76">
        <f t="shared" si="57"/>
        <v>3.4787109692996374</v>
      </c>
      <c r="AA117" s="76">
        <f t="shared" si="58"/>
        <v>1.0436132907898912</v>
      </c>
      <c r="AB117" s="76">
        <f>AA117+MILK2024_Imperial!$U$32</f>
        <v>3.5106375837640469</v>
      </c>
      <c r="AC117" s="76">
        <f>($AC$10*0.2)/(MILK2024_Imperial!AT117)</f>
        <v>2.1952587200950457</v>
      </c>
      <c r="AD117" s="76">
        <f t="shared" si="59"/>
        <v>15.518325182771083</v>
      </c>
      <c r="AE117" s="76">
        <f t="shared" si="60"/>
        <v>3.2733558347128535</v>
      </c>
      <c r="AF117" s="46">
        <f>(AC117*MILK2024_Imperial!AT117)/1000</f>
        <v>6.0000000000000005E-2</v>
      </c>
      <c r="AG117" s="76">
        <f>(AD117*MILK2024_Imperial!AT117)/1000</f>
        <v>0.42414112853447733</v>
      </c>
      <c r="AH117" s="76">
        <f t="shared" si="61"/>
        <v>0.82301469114619663</v>
      </c>
      <c r="AI117" s="50">
        <f t="shared" si="62"/>
        <v>339.84845660228433</v>
      </c>
      <c r="AJ117" s="76">
        <f>(0.0146*AI117)/MILK2024_Imperial!AT117</f>
        <v>0.18154012004763848</v>
      </c>
      <c r="AK117" s="76">
        <f>(0.294*MILK2024_Imperial!AT117-0.347*(U117*0.3+MILK2024_Imperial!$U$17*0.7)+0.0409*(H117*0.3+$F$22*0.7))/MILK2024_Imperial!AT117</f>
        <v>0.28296826901575345</v>
      </c>
      <c r="AL117" s="76">
        <f t="shared" si="63"/>
        <v>2.8088474456494614</v>
      </c>
      <c r="AM117" s="76">
        <f t="shared" si="64"/>
        <v>1.8538393141286447</v>
      </c>
      <c r="AN117" s="76">
        <f t="shared" si="43"/>
        <v>33.538450980075311</v>
      </c>
      <c r="AO117" s="76">
        <f t="shared" si="65"/>
        <v>0.2972717251180757</v>
      </c>
      <c r="AP117" s="78">
        <f t="shared" si="66"/>
        <v>9.9700331806350047</v>
      </c>
      <c r="AQ117" s="78">
        <f t="shared" si="67"/>
        <v>0.8025160835789511</v>
      </c>
      <c r="AR117" s="78">
        <f t="shared" si="44"/>
        <v>13.473017811668925</v>
      </c>
      <c r="AS117" s="78">
        <f t="shared" si="68"/>
        <v>29.640639185671635</v>
      </c>
      <c r="AT117" s="78">
        <f t="shared" si="45"/>
        <v>27.331630413659056</v>
      </c>
      <c r="AU117" s="78">
        <f t="shared" si="69"/>
        <v>60.12958691004993</v>
      </c>
      <c r="AV117" s="78">
        <f t="shared" si="70"/>
        <v>18.038876073014979</v>
      </c>
      <c r="AW117" s="79">
        <f t="shared" si="46"/>
        <v>3286.3066485624522</v>
      </c>
      <c r="AX117" s="79">
        <f t="shared" si="47"/>
        <v>32863.06648562452</v>
      </c>
      <c r="AY117" s="30"/>
      <c r="AZ117" s="1"/>
    </row>
    <row r="118" spans="1:52" x14ac:dyDescent="0.2">
      <c r="A118" s="47" t="s">
        <v>273</v>
      </c>
      <c r="B118" s="47"/>
      <c r="C118" s="48">
        <v>10</v>
      </c>
      <c r="D118" s="48">
        <v>37.1</v>
      </c>
      <c r="E118" s="48">
        <v>76.8</v>
      </c>
      <c r="F118" s="48">
        <v>3.5</v>
      </c>
      <c r="G118" s="48">
        <v>7.4</v>
      </c>
      <c r="H118" s="80">
        <f>'Fiber_Ash Inputs'!V91</f>
        <v>35.6</v>
      </c>
      <c r="I118" s="80">
        <f>'Fiber_Ash Inputs'!W91</f>
        <v>64.2</v>
      </c>
      <c r="J118" s="80">
        <f>'Fiber_Ash Inputs'!X91</f>
        <v>7.9</v>
      </c>
      <c r="K118" s="80">
        <f>'Fiber_Ash Inputs'!U91</f>
        <v>3</v>
      </c>
      <c r="L118" s="76">
        <f t="shared" si="48"/>
        <v>24.35079535546226</v>
      </c>
      <c r="M118" s="76">
        <f t="shared" si="49"/>
        <v>94.616843393682686</v>
      </c>
      <c r="N118" s="76">
        <f t="shared" si="50"/>
        <v>22.191011235955056</v>
      </c>
      <c r="O118" s="76">
        <f t="shared" si="51"/>
        <v>22.191011235955056</v>
      </c>
      <c r="P118" s="76">
        <f>(100*((LN((100-O118)-I118)-4.6052)/-'Fiber_Ash Inputs'!$D$17))*'Fiber_Ash Inputs'!$C$17</f>
        <v>7.3869240261072449</v>
      </c>
      <c r="Q118" s="76">
        <f t="shared" si="52"/>
        <v>58.830414718402729</v>
      </c>
      <c r="R118" s="76">
        <f>IF('Fiber_Ash Inputs'!$B$11=30,MILK2024_Imperial!I118,IF('Fiber_Ash Inputs'!$B$11=48,MILK2024_Imperial!I118*0.926))</f>
        <v>64.2</v>
      </c>
      <c r="S118" s="76">
        <f t="shared" si="53"/>
        <v>5.6980000000000004</v>
      </c>
      <c r="T118" s="76">
        <f t="shared" si="54"/>
        <v>1.7094</v>
      </c>
      <c r="U118" s="46">
        <f t="shared" si="55"/>
        <v>2.5</v>
      </c>
      <c r="V118" s="77">
        <f t="shared" si="56"/>
        <v>14.399999999999997</v>
      </c>
      <c r="W118" s="76">
        <f>((G118*0.3+MILK2024_Imperial!$J$22*0.7)/100)*MILK2024_Imperial!AT118</f>
        <v>4.5856445751997779</v>
      </c>
      <c r="X118" s="76">
        <f>((S118*0.3+MILK2024_Imperial!$L$22*0.7)/100)*MILK2024_Imperial!AT118</f>
        <v>2.8283731001045389</v>
      </c>
      <c r="Y118" s="76">
        <f>((T118*0.3+MILK2024_Imperial!$M$22*0.7)/100)*MILK2024_Imperial!AT118</f>
        <v>1.4298208821942155</v>
      </c>
      <c r="Z118" s="76">
        <f t="shared" si="57"/>
        <v>3.4787109692996374</v>
      </c>
      <c r="AA118" s="76">
        <f t="shared" si="58"/>
        <v>1.0436132907898912</v>
      </c>
      <c r="AB118" s="76">
        <f>AA118+MILK2024_Imperial!$U$32</f>
        <v>3.5106375837640469</v>
      </c>
      <c r="AC118" s="76">
        <f>($AC$10*0.2)/(MILK2024_Imperial!AT118)</f>
        <v>2.1952587200950457</v>
      </c>
      <c r="AD118" s="76">
        <f t="shared" si="59"/>
        <v>15.518325182771083</v>
      </c>
      <c r="AE118" s="76">
        <f t="shared" si="60"/>
        <v>3.2733558347128535</v>
      </c>
      <c r="AF118" s="46">
        <f>(AC118*MILK2024_Imperial!AT118)/1000</f>
        <v>6.0000000000000005E-2</v>
      </c>
      <c r="AG118" s="76">
        <f>(AD118*MILK2024_Imperial!AT118)/1000</f>
        <v>0.42414112853447733</v>
      </c>
      <c r="AH118" s="76">
        <f t="shared" si="61"/>
        <v>0.82301469114619663</v>
      </c>
      <c r="AI118" s="50">
        <f t="shared" si="62"/>
        <v>339.84845660228433</v>
      </c>
      <c r="AJ118" s="76">
        <f>(0.0146*AI118)/MILK2024_Imperial!AT118</f>
        <v>0.18154012004763848</v>
      </c>
      <c r="AK118" s="76">
        <f>(0.294*MILK2024_Imperial!AT118-0.347*(U118*0.3+MILK2024_Imperial!$U$17*0.7)+0.0409*(H118*0.3+$F$22*0.7))/MILK2024_Imperial!AT118</f>
        <v>0.28296826901575345</v>
      </c>
      <c r="AL118" s="76">
        <f t="shared" si="63"/>
        <v>2.8088474456494614</v>
      </c>
      <c r="AM118" s="76">
        <f t="shared" si="64"/>
        <v>1.8538393141286447</v>
      </c>
      <c r="AN118" s="76">
        <f t="shared" si="43"/>
        <v>33.538450980075311</v>
      </c>
      <c r="AO118" s="76">
        <f t="shared" si="65"/>
        <v>0.2972717251180757</v>
      </c>
      <c r="AP118" s="78">
        <f t="shared" si="66"/>
        <v>9.9700331806350047</v>
      </c>
      <c r="AQ118" s="78">
        <f t="shared" si="67"/>
        <v>0.8025160835789511</v>
      </c>
      <c r="AR118" s="78">
        <f t="shared" si="44"/>
        <v>13.473017811668925</v>
      </c>
      <c r="AS118" s="78">
        <f t="shared" si="68"/>
        <v>29.640639185671635</v>
      </c>
      <c r="AT118" s="78">
        <f t="shared" si="45"/>
        <v>27.331630413659056</v>
      </c>
      <c r="AU118" s="78">
        <f t="shared" si="69"/>
        <v>60.12958691004993</v>
      </c>
      <c r="AV118" s="78">
        <f t="shared" si="70"/>
        <v>18.038876073014979</v>
      </c>
      <c r="AW118" s="79">
        <f t="shared" si="46"/>
        <v>3286.3066485624522</v>
      </c>
      <c r="AX118" s="79">
        <f t="shared" si="47"/>
        <v>32863.06648562452</v>
      </c>
      <c r="AY118" s="30"/>
      <c r="AZ118" s="1"/>
    </row>
    <row r="119" spans="1:52" x14ac:dyDescent="0.2">
      <c r="A119" s="47" t="s">
        <v>274</v>
      </c>
      <c r="B119" s="47"/>
      <c r="C119" s="48">
        <v>10</v>
      </c>
      <c r="D119" s="48">
        <v>37.1</v>
      </c>
      <c r="E119" s="48">
        <v>76.8</v>
      </c>
      <c r="F119" s="48">
        <v>3.5</v>
      </c>
      <c r="G119" s="48">
        <v>7.4</v>
      </c>
      <c r="H119" s="80">
        <f>'Fiber_Ash Inputs'!V92</f>
        <v>35.6</v>
      </c>
      <c r="I119" s="80">
        <f>'Fiber_Ash Inputs'!W92</f>
        <v>64.2</v>
      </c>
      <c r="J119" s="80">
        <f>'Fiber_Ash Inputs'!X92</f>
        <v>7.9</v>
      </c>
      <c r="K119" s="80">
        <f>'Fiber_Ash Inputs'!U92</f>
        <v>3</v>
      </c>
      <c r="L119" s="76">
        <f t="shared" si="48"/>
        <v>24.35079535546226</v>
      </c>
      <c r="M119" s="76">
        <f t="shared" si="49"/>
        <v>94.616843393682686</v>
      </c>
      <c r="N119" s="76">
        <f t="shared" si="50"/>
        <v>22.191011235955056</v>
      </c>
      <c r="O119" s="76">
        <f t="shared" si="51"/>
        <v>22.191011235955056</v>
      </c>
      <c r="P119" s="76">
        <f>(100*((LN((100-O119)-I119)-4.6052)/-'Fiber_Ash Inputs'!$D$17))*'Fiber_Ash Inputs'!$C$17</f>
        <v>7.3869240261072449</v>
      </c>
      <c r="Q119" s="76">
        <f t="shared" si="52"/>
        <v>58.830414718402729</v>
      </c>
      <c r="R119" s="76">
        <f>IF('Fiber_Ash Inputs'!$B$11=30,MILK2024_Imperial!I119,IF('Fiber_Ash Inputs'!$B$11=48,MILK2024_Imperial!I119*0.926))</f>
        <v>64.2</v>
      </c>
      <c r="S119" s="76">
        <f t="shared" si="53"/>
        <v>5.6980000000000004</v>
      </c>
      <c r="T119" s="76">
        <f t="shared" si="54"/>
        <v>1.7094</v>
      </c>
      <c r="U119" s="46">
        <f t="shared" si="55"/>
        <v>2.5</v>
      </c>
      <c r="V119" s="77">
        <f t="shared" si="56"/>
        <v>14.399999999999997</v>
      </c>
      <c r="W119" s="76">
        <f>((G119*0.3+MILK2024_Imperial!$J$22*0.7)/100)*MILK2024_Imperial!AT119</f>
        <v>4.5856445751997779</v>
      </c>
      <c r="X119" s="76">
        <f>((S119*0.3+MILK2024_Imperial!$L$22*0.7)/100)*MILK2024_Imperial!AT119</f>
        <v>2.8283731001045389</v>
      </c>
      <c r="Y119" s="76">
        <f>((T119*0.3+MILK2024_Imperial!$M$22*0.7)/100)*MILK2024_Imperial!AT119</f>
        <v>1.4298208821942155</v>
      </c>
      <c r="Z119" s="76">
        <f t="shared" si="57"/>
        <v>3.4787109692996374</v>
      </c>
      <c r="AA119" s="76">
        <f t="shared" si="58"/>
        <v>1.0436132907898912</v>
      </c>
      <c r="AB119" s="76">
        <f>AA119+MILK2024_Imperial!$U$32</f>
        <v>3.5106375837640469</v>
      </c>
      <c r="AC119" s="76">
        <f>($AC$10*0.2)/(MILK2024_Imperial!AT119)</f>
        <v>2.1952587200950457</v>
      </c>
      <c r="AD119" s="76">
        <f t="shared" si="59"/>
        <v>15.518325182771083</v>
      </c>
      <c r="AE119" s="76">
        <f t="shared" si="60"/>
        <v>3.2733558347128535</v>
      </c>
      <c r="AF119" s="46">
        <f>(AC119*MILK2024_Imperial!AT119)/1000</f>
        <v>6.0000000000000005E-2</v>
      </c>
      <c r="AG119" s="76">
        <f>(AD119*MILK2024_Imperial!AT119)/1000</f>
        <v>0.42414112853447733</v>
      </c>
      <c r="AH119" s="76">
        <f t="shared" si="61"/>
        <v>0.82301469114619663</v>
      </c>
      <c r="AI119" s="50">
        <f t="shared" si="62"/>
        <v>339.84845660228433</v>
      </c>
      <c r="AJ119" s="76">
        <f>(0.0146*AI119)/MILK2024_Imperial!AT119</f>
        <v>0.18154012004763848</v>
      </c>
      <c r="AK119" s="76">
        <f>(0.294*MILK2024_Imperial!AT119-0.347*(U119*0.3+MILK2024_Imperial!$U$17*0.7)+0.0409*(H119*0.3+$F$22*0.7))/MILK2024_Imperial!AT119</f>
        <v>0.28296826901575345</v>
      </c>
      <c r="AL119" s="76">
        <f t="shared" si="63"/>
        <v>2.8088474456494614</v>
      </c>
      <c r="AM119" s="76">
        <f t="shared" si="64"/>
        <v>1.8538393141286447</v>
      </c>
      <c r="AN119" s="76">
        <f t="shared" si="43"/>
        <v>33.538450980075311</v>
      </c>
      <c r="AO119" s="76">
        <f t="shared" si="65"/>
        <v>0.2972717251180757</v>
      </c>
      <c r="AP119" s="78">
        <f t="shared" si="66"/>
        <v>9.9700331806350047</v>
      </c>
      <c r="AQ119" s="78">
        <f t="shared" si="67"/>
        <v>0.8025160835789511</v>
      </c>
      <c r="AR119" s="78">
        <f t="shared" si="44"/>
        <v>13.473017811668925</v>
      </c>
      <c r="AS119" s="78">
        <f t="shared" si="68"/>
        <v>29.640639185671635</v>
      </c>
      <c r="AT119" s="78">
        <f t="shared" si="45"/>
        <v>27.331630413659056</v>
      </c>
      <c r="AU119" s="78">
        <f t="shared" si="69"/>
        <v>60.12958691004993</v>
      </c>
      <c r="AV119" s="78">
        <f t="shared" si="70"/>
        <v>18.038876073014979</v>
      </c>
      <c r="AW119" s="79">
        <f t="shared" si="46"/>
        <v>3286.3066485624522</v>
      </c>
      <c r="AX119" s="79">
        <f t="shared" si="47"/>
        <v>32863.06648562452</v>
      </c>
      <c r="AY119" s="30"/>
      <c r="AZ119" s="1"/>
    </row>
    <row r="120" spans="1:52" x14ac:dyDescent="0.2">
      <c r="A120" s="47" t="s">
        <v>275</v>
      </c>
      <c r="B120" s="47"/>
      <c r="C120" s="48">
        <v>10</v>
      </c>
      <c r="D120" s="48">
        <v>37.1</v>
      </c>
      <c r="E120" s="48">
        <v>76.8</v>
      </c>
      <c r="F120" s="48">
        <v>3.5</v>
      </c>
      <c r="G120" s="48">
        <v>7.4</v>
      </c>
      <c r="H120" s="80">
        <f>'Fiber_Ash Inputs'!V93</f>
        <v>35.6</v>
      </c>
      <c r="I120" s="80">
        <f>'Fiber_Ash Inputs'!W93</f>
        <v>64.2</v>
      </c>
      <c r="J120" s="80">
        <f>'Fiber_Ash Inputs'!X93</f>
        <v>7.9</v>
      </c>
      <c r="K120" s="80">
        <f>'Fiber_Ash Inputs'!U93</f>
        <v>3</v>
      </c>
      <c r="L120" s="76">
        <f t="shared" si="48"/>
        <v>24.35079535546226</v>
      </c>
      <c r="M120" s="76">
        <f t="shared" si="49"/>
        <v>94.616843393682686</v>
      </c>
      <c r="N120" s="76">
        <f t="shared" si="50"/>
        <v>22.191011235955056</v>
      </c>
      <c r="O120" s="76">
        <f t="shared" si="51"/>
        <v>22.191011235955056</v>
      </c>
      <c r="P120" s="76">
        <f>(100*((LN((100-O120)-I120)-4.6052)/-'Fiber_Ash Inputs'!$D$17))*'Fiber_Ash Inputs'!$C$17</f>
        <v>7.3869240261072449</v>
      </c>
      <c r="Q120" s="76">
        <f t="shared" si="52"/>
        <v>58.830414718402729</v>
      </c>
      <c r="R120" s="76">
        <f>IF('Fiber_Ash Inputs'!$B$11=30,MILK2024_Imperial!I120,IF('Fiber_Ash Inputs'!$B$11=48,MILK2024_Imperial!I120*0.926))</f>
        <v>64.2</v>
      </c>
      <c r="S120" s="76">
        <f t="shared" si="53"/>
        <v>5.6980000000000004</v>
      </c>
      <c r="T120" s="76">
        <f t="shared" si="54"/>
        <v>1.7094</v>
      </c>
      <c r="U120" s="46">
        <f t="shared" si="55"/>
        <v>2.5</v>
      </c>
      <c r="V120" s="77">
        <f t="shared" si="56"/>
        <v>14.399999999999997</v>
      </c>
      <c r="W120" s="76">
        <f>((G120*0.3+MILK2024_Imperial!$J$22*0.7)/100)*MILK2024_Imperial!AT120</f>
        <v>4.5856445751997779</v>
      </c>
      <c r="X120" s="76">
        <f>((S120*0.3+MILK2024_Imperial!$L$22*0.7)/100)*MILK2024_Imperial!AT120</f>
        <v>2.8283731001045389</v>
      </c>
      <c r="Y120" s="76">
        <f>((T120*0.3+MILK2024_Imperial!$M$22*0.7)/100)*MILK2024_Imperial!AT120</f>
        <v>1.4298208821942155</v>
      </c>
      <c r="Z120" s="76">
        <f t="shared" si="57"/>
        <v>3.4787109692996374</v>
      </c>
      <c r="AA120" s="76">
        <f t="shared" si="58"/>
        <v>1.0436132907898912</v>
      </c>
      <c r="AB120" s="76">
        <f>AA120+MILK2024_Imperial!$U$32</f>
        <v>3.5106375837640469</v>
      </c>
      <c r="AC120" s="76">
        <f>($AC$10*0.2)/(MILK2024_Imperial!AT120)</f>
        <v>2.1952587200950457</v>
      </c>
      <c r="AD120" s="76">
        <f t="shared" si="59"/>
        <v>15.518325182771083</v>
      </c>
      <c r="AE120" s="76">
        <f t="shared" si="60"/>
        <v>3.2733558347128535</v>
      </c>
      <c r="AF120" s="46">
        <f>(AC120*MILK2024_Imperial!AT120)/1000</f>
        <v>6.0000000000000005E-2</v>
      </c>
      <c r="AG120" s="76">
        <f>(AD120*MILK2024_Imperial!AT120)/1000</f>
        <v>0.42414112853447733</v>
      </c>
      <c r="AH120" s="76">
        <f t="shared" si="61"/>
        <v>0.82301469114619663</v>
      </c>
      <c r="AI120" s="50">
        <f t="shared" si="62"/>
        <v>339.84845660228433</v>
      </c>
      <c r="AJ120" s="76">
        <f>(0.0146*AI120)/MILK2024_Imperial!AT120</f>
        <v>0.18154012004763848</v>
      </c>
      <c r="AK120" s="76">
        <f>(0.294*MILK2024_Imperial!AT120-0.347*(U120*0.3+MILK2024_Imperial!$U$17*0.7)+0.0409*(H120*0.3+$F$22*0.7))/MILK2024_Imperial!AT120</f>
        <v>0.28296826901575345</v>
      </c>
      <c r="AL120" s="76">
        <f t="shared" si="63"/>
        <v>2.8088474456494614</v>
      </c>
      <c r="AM120" s="76">
        <f t="shared" si="64"/>
        <v>1.8538393141286447</v>
      </c>
      <c r="AN120" s="76">
        <f t="shared" si="43"/>
        <v>33.538450980075311</v>
      </c>
      <c r="AO120" s="76">
        <f t="shared" si="65"/>
        <v>0.2972717251180757</v>
      </c>
      <c r="AP120" s="78">
        <f t="shared" si="66"/>
        <v>9.9700331806350047</v>
      </c>
      <c r="AQ120" s="78">
        <f t="shared" si="67"/>
        <v>0.8025160835789511</v>
      </c>
      <c r="AR120" s="78">
        <f t="shared" si="44"/>
        <v>13.473017811668925</v>
      </c>
      <c r="AS120" s="78">
        <f t="shared" si="68"/>
        <v>29.640639185671635</v>
      </c>
      <c r="AT120" s="78">
        <f t="shared" si="45"/>
        <v>27.331630413659056</v>
      </c>
      <c r="AU120" s="78">
        <f t="shared" si="69"/>
        <v>60.12958691004993</v>
      </c>
      <c r="AV120" s="78">
        <f t="shared" si="70"/>
        <v>18.038876073014979</v>
      </c>
      <c r="AW120" s="79">
        <f t="shared" si="46"/>
        <v>3286.3066485624522</v>
      </c>
      <c r="AX120" s="79">
        <f t="shared" si="47"/>
        <v>32863.06648562452</v>
      </c>
      <c r="AY120" s="30"/>
      <c r="AZ120" s="1"/>
    </row>
    <row r="121" spans="1:52" x14ac:dyDescent="0.2">
      <c r="A121" s="47" t="s">
        <v>276</v>
      </c>
      <c r="B121" s="47"/>
      <c r="C121" s="48">
        <v>10</v>
      </c>
      <c r="D121" s="48">
        <v>37.1</v>
      </c>
      <c r="E121" s="48">
        <v>76.8</v>
      </c>
      <c r="F121" s="48">
        <v>3.5</v>
      </c>
      <c r="G121" s="48">
        <v>7.4</v>
      </c>
      <c r="H121" s="80">
        <f>'Fiber_Ash Inputs'!V94</f>
        <v>35.6</v>
      </c>
      <c r="I121" s="80">
        <f>'Fiber_Ash Inputs'!W94</f>
        <v>64.2</v>
      </c>
      <c r="J121" s="80">
        <f>'Fiber_Ash Inputs'!X94</f>
        <v>7.9</v>
      </c>
      <c r="K121" s="80">
        <f>'Fiber_Ash Inputs'!U94</f>
        <v>3</v>
      </c>
      <c r="L121" s="76">
        <f t="shared" si="48"/>
        <v>24.35079535546226</v>
      </c>
      <c r="M121" s="76">
        <f t="shared" si="49"/>
        <v>94.616843393682686</v>
      </c>
      <c r="N121" s="76">
        <f t="shared" si="50"/>
        <v>22.191011235955056</v>
      </c>
      <c r="O121" s="76">
        <f t="shared" si="51"/>
        <v>22.191011235955056</v>
      </c>
      <c r="P121" s="76">
        <f>(100*((LN((100-O121)-I121)-4.6052)/-'Fiber_Ash Inputs'!$D$17))*'Fiber_Ash Inputs'!$C$17</f>
        <v>7.3869240261072449</v>
      </c>
      <c r="Q121" s="76">
        <f t="shared" si="52"/>
        <v>58.830414718402729</v>
      </c>
      <c r="R121" s="76">
        <f>IF('Fiber_Ash Inputs'!$B$11=30,MILK2024_Imperial!I121,IF('Fiber_Ash Inputs'!$B$11=48,MILK2024_Imperial!I121*0.926))</f>
        <v>64.2</v>
      </c>
      <c r="S121" s="76">
        <f t="shared" si="53"/>
        <v>5.6980000000000004</v>
      </c>
      <c r="T121" s="76">
        <f t="shared" si="54"/>
        <v>1.7094</v>
      </c>
      <c r="U121" s="46">
        <f t="shared" si="55"/>
        <v>2.5</v>
      </c>
      <c r="V121" s="77">
        <f t="shared" si="56"/>
        <v>14.399999999999997</v>
      </c>
      <c r="W121" s="76">
        <f>((G121*0.3+MILK2024_Imperial!$J$22*0.7)/100)*MILK2024_Imperial!AT121</f>
        <v>4.5856445751997779</v>
      </c>
      <c r="X121" s="76">
        <f>((S121*0.3+MILK2024_Imperial!$L$22*0.7)/100)*MILK2024_Imperial!AT121</f>
        <v>2.8283731001045389</v>
      </c>
      <c r="Y121" s="76">
        <f>((T121*0.3+MILK2024_Imperial!$M$22*0.7)/100)*MILK2024_Imperial!AT121</f>
        <v>1.4298208821942155</v>
      </c>
      <c r="Z121" s="76">
        <f t="shared" si="57"/>
        <v>3.4787109692996374</v>
      </c>
      <c r="AA121" s="76">
        <f t="shared" si="58"/>
        <v>1.0436132907898912</v>
      </c>
      <c r="AB121" s="76">
        <f>AA121+MILK2024_Imperial!$U$32</f>
        <v>3.5106375837640469</v>
      </c>
      <c r="AC121" s="76">
        <f>($AC$10*0.2)/(MILK2024_Imperial!AT121)</f>
        <v>2.1952587200950457</v>
      </c>
      <c r="AD121" s="76">
        <f t="shared" si="59"/>
        <v>15.518325182771083</v>
      </c>
      <c r="AE121" s="76">
        <f t="shared" si="60"/>
        <v>3.2733558347128535</v>
      </c>
      <c r="AF121" s="46">
        <f>(AC121*MILK2024_Imperial!AT121)/1000</f>
        <v>6.0000000000000005E-2</v>
      </c>
      <c r="AG121" s="76">
        <f>(AD121*MILK2024_Imperial!AT121)/1000</f>
        <v>0.42414112853447733</v>
      </c>
      <c r="AH121" s="76">
        <f t="shared" si="61"/>
        <v>0.82301469114619663</v>
      </c>
      <c r="AI121" s="50">
        <f t="shared" si="62"/>
        <v>339.84845660228433</v>
      </c>
      <c r="AJ121" s="76">
        <f>(0.0146*AI121)/MILK2024_Imperial!AT121</f>
        <v>0.18154012004763848</v>
      </c>
      <c r="AK121" s="76">
        <f>(0.294*MILK2024_Imperial!AT121-0.347*(U121*0.3+MILK2024_Imperial!$U$17*0.7)+0.0409*(H121*0.3+$F$22*0.7))/MILK2024_Imperial!AT121</f>
        <v>0.28296826901575345</v>
      </c>
      <c r="AL121" s="76">
        <f t="shared" si="63"/>
        <v>2.8088474456494614</v>
      </c>
      <c r="AM121" s="76">
        <f t="shared" si="64"/>
        <v>1.8538393141286447</v>
      </c>
      <c r="AN121" s="76">
        <f t="shared" si="43"/>
        <v>33.538450980075311</v>
      </c>
      <c r="AO121" s="76">
        <f t="shared" si="65"/>
        <v>0.2972717251180757</v>
      </c>
      <c r="AP121" s="78">
        <f t="shared" si="66"/>
        <v>9.9700331806350047</v>
      </c>
      <c r="AQ121" s="78">
        <f t="shared" si="67"/>
        <v>0.8025160835789511</v>
      </c>
      <c r="AR121" s="78">
        <f t="shared" si="44"/>
        <v>13.473017811668925</v>
      </c>
      <c r="AS121" s="78">
        <f t="shared" si="68"/>
        <v>29.640639185671635</v>
      </c>
      <c r="AT121" s="78">
        <f t="shared" si="45"/>
        <v>27.331630413659056</v>
      </c>
      <c r="AU121" s="78">
        <f t="shared" si="69"/>
        <v>60.12958691004993</v>
      </c>
      <c r="AV121" s="78">
        <f t="shared" si="70"/>
        <v>18.038876073014979</v>
      </c>
      <c r="AW121" s="79">
        <f t="shared" si="46"/>
        <v>3286.3066485624522</v>
      </c>
      <c r="AX121" s="79">
        <f t="shared" si="47"/>
        <v>32863.06648562452</v>
      </c>
      <c r="AY121" s="30"/>
      <c r="AZ121" s="1"/>
    </row>
    <row r="122" spans="1:52" x14ac:dyDescent="0.2">
      <c r="A122" s="47" t="s">
        <v>277</v>
      </c>
      <c r="B122" s="47"/>
      <c r="C122" s="48">
        <v>10</v>
      </c>
      <c r="D122" s="48">
        <v>37.1</v>
      </c>
      <c r="E122" s="48">
        <v>76.8</v>
      </c>
      <c r="F122" s="48">
        <v>3.5</v>
      </c>
      <c r="G122" s="48">
        <v>7.4</v>
      </c>
      <c r="H122" s="80">
        <f>'Fiber_Ash Inputs'!V95</f>
        <v>35.6</v>
      </c>
      <c r="I122" s="80">
        <f>'Fiber_Ash Inputs'!W95</f>
        <v>64.2</v>
      </c>
      <c r="J122" s="80">
        <f>'Fiber_Ash Inputs'!X95</f>
        <v>7.9</v>
      </c>
      <c r="K122" s="80">
        <f>'Fiber_Ash Inputs'!U95</f>
        <v>3</v>
      </c>
      <c r="L122" s="76">
        <f t="shared" si="48"/>
        <v>24.35079535546226</v>
      </c>
      <c r="M122" s="76">
        <f t="shared" si="49"/>
        <v>94.616843393682686</v>
      </c>
      <c r="N122" s="76">
        <f t="shared" si="50"/>
        <v>22.191011235955056</v>
      </c>
      <c r="O122" s="76">
        <f t="shared" si="51"/>
        <v>22.191011235955056</v>
      </c>
      <c r="P122" s="76">
        <f>(100*((LN((100-O122)-I122)-4.6052)/-'Fiber_Ash Inputs'!$D$17))*'Fiber_Ash Inputs'!$C$17</f>
        <v>7.3869240261072449</v>
      </c>
      <c r="Q122" s="76">
        <f t="shared" si="52"/>
        <v>58.830414718402729</v>
      </c>
      <c r="R122" s="76">
        <f>IF('Fiber_Ash Inputs'!$B$11=30,MILK2024_Imperial!I122,IF('Fiber_Ash Inputs'!$B$11=48,MILK2024_Imperial!I122*0.926))</f>
        <v>64.2</v>
      </c>
      <c r="S122" s="76">
        <f t="shared" si="53"/>
        <v>5.6980000000000004</v>
      </c>
      <c r="T122" s="76">
        <f t="shared" si="54"/>
        <v>1.7094</v>
      </c>
      <c r="U122" s="46">
        <f t="shared" si="55"/>
        <v>2.5</v>
      </c>
      <c r="V122" s="77">
        <f t="shared" si="56"/>
        <v>14.399999999999997</v>
      </c>
      <c r="W122" s="76">
        <f>((G122*0.3+MILK2024_Imperial!$J$22*0.7)/100)*MILK2024_Imperial!AT122</f>
        <v>4.5856445751997779</v>
      </c>
      <c r="X122" s="76">
        <f>((S122*0.3+MILK2024_Imperial!$L$22*0.7)/100)*MILK2024_Imperial!AT122</f>
        <v>2.8283731001045389</v>
      </c>
      <c r="Y122" s="76">
        <f>((T122*0.3+MILK2024_Imperial!$M$22*0.7)/100)*MILK2024_Imperial!AT122</f>
        <v>1.4298208821942155</v>
      </c>
      <c r="Z122" s="76">
        <f t="shared" si="57"/>
        <v>3.4787109692996374</v>
      </c>
      <c r="AA122" s="76">
        <f t="shared" si="58"/>
        <v>1.0436132907898912</v>
      </c>
      <c r="AB122" s="76">
        <f>AA122+MILK2024_Imperial!$U$32</f>
        <v>3.5106375837640469</v>
      </c>
      <c r="AC122" s="76">
        <f>($AC$10*0.2)/(MILK2024_Imperial!AT122)</f>
        <v>2.1952587200950457</v>
      </c>
      <c r="AD122" s="76">
        <f t="shared" si="59"/>
        <v>15.518325182771083</v>
      </c>
      <c r="AE122" s="76">
        <f t="shared" si="60"/>
        <v>3.2733558347128535</v>
      </c>
      <c r="AF122" s="46">
        <f>(AC122*MILK2024_Imperial!AT122)/1000</f>
        <v>6.0000000000000005E-2</v>
      </c>
      <c r="AG122" s="76">
        <f>(AD122*MILK2024_Imperial!AT122)/1000</f>
        <v>0.42414112853447733</v>
      </c>
      <c r="AH122" s="76">
        <f t="shared" si="61"/>
        <v>0.82301469114619663</v>
      </c>
      <c r="AI122" s="50">
        <f t="shared" si="62"/>
        <v>339.84845660228433</v>
      </c>
      <c r="AJ122" s="76">
        <f>(0.0146*AI122)/MILK2024_Imperial!AT122</f>
        <v>0.18154012004763848</v>
      </c>
      <c r="AK122" s="76">
        <f>(0.294*MILK2024_Imperial!AT122-0.347*(U122*0.3+MILK2024_Imperial!$U$17*0.7)+0.0409*(H122*0.3+$F$22*0.7))/MILK2024_Imperial!AT122</f>
        <v>0.28296826901575345</v>
      </c>
      <c r="AL122" s="76">
        <f t="shared" si="63"/>
        <v>2.8088474456494614</v>
      </c>
      <c r="AM122" s="76">
        <f t="shared" si="64"/>
        <v>1.8538393141286447</v>
      </c>
      <c r="AN122" s="76">
        <f t="shared" si="43"/>
        <v>33.538450980075311</v>
      </c>
      <c r="AO122" s="76">
        <f t="shared" si="65"/>
        <v>0.2972717251180757</v>
      </c>
      <c r="AP122" s="78">
        <f t="shared" si="66"/>
        <v>9.9700331806350047</v>
      </c>
      <c r="AQ122" s="78">
        <f t="shared" si="67"/>
        <v>0.8025160835789511</v>
      </c>
      <c r="AR122" s="78">
        <f t="shared" si="44"/>
        <v>13.473017811668925</v>
      </c>
      <c r="AS122" s="78">
        <f t="shared" si="68"/>
        <v>29.640639185671635</v>
      </c>
      <c r="AT122" s="78">
        <f t="shared" si="45"/>
        <v>27.331630413659056</v>
      </c>
      <c r="AU122" s="78">
        <f t="shared" si="69"/>
        <v>60.12958691004993</v>
      </c>
      <c r="AV122" s="78">
        <f t="shared" si="70"/>
        <v>18.038876073014979</v>
      </c>
      <c r="AW122" s="79">
        <f t="shared" si="46"/>
        <v>3286.3066485624522</v>
      </c>
      <c r="AX122" s="79">
        <f t="shared" si="47"/>
        <v>32863.06648562452</v>
      </c>
      <c r="AY122" s="30"/>
      <c r="AZ122" s="1"/>
    </row>
    <row r="123" spans="1:52" x14ac:dyDescent="0.2">
      <c r="A123" s="47" t="s">
        <v>278</v>
      </c>
      <c r="B123" s="47"/>
      <c r="C123" s="48">
        <v>10</v>
      </c>
      <c r="D123" s="48">
        <v>37.1</v>
      </c>
      <c r="E123" s="48">
        <v>76.8</v>
      </c>
      <c r="F123" s="48">
        <v>3.5</v>
      </c>
      <c r="G123" s="48">
        <v>7.4</v>
      </c>
      <c r="H123" s="80">
        <f>'Fiber_Ash Inputs'!V96</f>
        <v>35.6</v>
      </c>
      <c r="I123" s="80">
        <f>'Fiber_Ash Inputs'!W96</f>
        <v>64.2</v>
      </c>
      <c r="J123" s="80">
        <f>'Fiber_Ash Inputs'!X96</f>
        <v>7.9</v>
      </c>
      <c r="K123" s="80">
        <f>'Fiber_Ash Inputs'!U96</f>
        <v>3</v>
      </c>
      <c r="L123" s="76">
        <f t="shared" si="48"/>
        <v>24.35079535546226</v>
      </c>
      <c r="M123" s="76">
        <f t="shared" si="49"/>
        <v>94.616843393682686</v>
      </c>
      <c r="N123" s="76">
        <f t="shared" si="50"/>
        <v>22.191011235955056</v>
      </c>
      <c r="O123" s="76">
        <f t="shared" si="51"/>
        <v>22.191011235955056</v>
      </c>
      <c r="P123" s="76">
        <f>(100*((LN((100-O123)-I123)-4.6052)/-'Fiber_Ash Inputs'!$D$17))*'Fiber_Ash Inputs'!$C$17</f>
        <v>7.3869240261072449</v>
      </c>
      <c r="Q123" s="76">
        <f t="shared" si="52"/>
        <v>58.830414718402729</v>
      </c>
      <c r="R123" s="76">
        <f>IF('Fiber_Ash Inputs'!$B$11=30,MILK2024_Imperial!I123,IF('Fiber_Ash Inputs'!$B$11=48,MILK2024_Imperial!I123*0.926))</f>
        <v>64.2</v>
      </c>
      <c r="S123" s="76">
        <f t="shared" si="53"/>
        <v>5.6980000000000004</v>
      </c>
      <c r="T123" s="76">
        <f t="shared" si="54"/>
        <v>1.7094</v>
      </c>
      <c r="U123" s="46">
        <f t="shared" si="55"/>
        <v>2.5</v>
      </c>
      <c r="V123" s="77">
        <f t="shared" si="56"/>
        <v>14.399999999999997</v>
      </c>
      <c r="W123" s="76">
        <f>((G123*0.3+MILK2024_Imperial!$J$22*0.7)/100)*MILK2024_Imperial!AT123</f>
        <v>4.5856445751997779</v>
      </c>
      <c r="X123" s="76">
        <f>((S123*0.3+MILK2024_Imperial!$L$22*0.7)/100)*MILK2024_Imperial!AT123</f>
        <v>2.8283731001045389</v>
      </c>
      <c r="Y123" s="76">
        <f>((T123*0.3+MILK2024_Imperial!$M$22*0.7)/100)*MILK2024_Imperial!AT123</f>
        <v>1.4298208821942155</v>
      </c>
      <c r="Z123" s="76">
        <f t="shared" si="57"/>
        <v>3.4787109692996374</v>
      </c>
      <c r="AA123" s="76">
        <f t="shared" si="58"/>
        <v>1.0436132907898912</v>
      </c>
      <c r="AB123" s="76">
        <f>AA123+MILK2024_Imperial!$U$32</f>
        <v>3.5106375837640469</v>
      </c>
      <c r="AC123" s="76">
        <f>($AC$10*0.2)/(MILK2024_Imperial!AT123)</f>
        <v>2.1952587200950457</v>
      </c>
      <c r="AD123" s="76">
        <f t="shared" si="59"/>
        <v>15.518325182771083</v>
      </c>
      <c r="AE123" s="76">
        <f t="shared" si="60"/>
        <v>3.2733558347128535</v>
      </c>
      <c r="AF123" s="46">
        <f>(AC123*MILK2024_Imperial!AT123)/1000</f>
        <v>6.0000000000000005E-2</v>
      </c>
      <c r="AG123" s="76">
        <f>(AD123*MILK2024_Imperial!AT123)/1000</f>
        <v>0.42414112853447733</v>
      </c>
      <c r="AH123" s="76">
        <f t="shared" si="61"/>
        <v>0.82301469114619663</v>
      </c>
      <c r="AI123" s="50">
        <f t="shared" si="62"/>
        <v>339.84845660228433</v>
      </c>
      <c r="AJ123" s="76">
        <f>(0.0146*AI123)/MILK2024_Imperial!AT123</f>
        <v>0.18154012004763848</v>
      </c>
      <c r="AK123" s="76">
        <f>(0.294*MILK2024_Imperial!AT123-0.347*(U123*0.3+MILK2024_Imperial!$U$17*0.7)+0.0409*(H123*0.3+$F$22*0.7))/MILK2024_Imperial!AT123</f>
        <v>0.28296826901575345</v>
      </c>
      <c r="AL123" s="76">
        <f t="shared" si="63"/>
        <v>2.8088474456494614</v>
      </c>
      <c r="AM123" s="76">
        <f t="shared" si="64"/>
        <v>1.8538393141286447</v>
      </c>
      <c r="AN123" s="76">
        <f t="shared" si="43"/>
        <v>33.538450980075311</v>
      </c>
      <c r="AO123" s="76">
        <f t="shared" si="65"/>
        <v>0.2972717251180757</v>
      </c>
      <c r="AP123" s="78">
        <f t="shared" si="66"/>
        <v>9.9700331806350047</v>
      </c>
      <c r="AQ123" s="78">
        <f t="shared" si="67"/>
        <v>0.8025160835789511</v>
      </c>
      <c r="AR123" s="78">
        <f t="shared" si="44"/>
        <v>13.473017811668925</v>
      </c>
      <c r="AS123" s="78">
        <f t="shared" si="68"/>
        <v>29.640639185671635</v>
      </c>
      <c r="AT123" s="78">
        <f t="shared" si="45"/>
        <v>27.331630413659056</v>
      </c>
      <c r="AU123" s="78">
        <f t="shared" si="69"/>
        <v>60.12958691004993</v>
      </c>
      <c r="AV123" s="78">
        <f t="shared" si="70"/>
        <v>18.038876073014979</v>
      </c>
      <c r="AW123" s="79">
        <f t="shared" si="46"/>
        <v>3286.3066485624522</v>
      </c>
      <c r="AX123" s="79">
        <f t="shared" si="47"/>
        <v>32863.06648562452</v>
      </c>
      <c r="AY123" s="30"/>
      <c r="AZ123" s="1"/>
    </row>
    <row r="124" spans="1:52" x14ac:dyDescent="0.2">
      <c r="A124" s="47" t="s">
        <v>279</v>
      </c>
      <c r="B124" s="47"/>
      <c r="C124" s="48">
        <v>10</v>
      </c>
      <c r="D124" s="48">
        <v>37.1</v>
      </c>
      <c r="E124" s="48">
        <v>76.8</v>
      </c>
      <c r="F124" s="48">
        <v>3.5</v>
      </c>
      <c r="G124" s="48">
        <v>7.4</v>
      </c>
      <c r="H124" s="80">
        <f>'Fiber_Ash Inputs'!V97</f>
        <v>35.6</v>
      </c>
      <c r="I124" s="80">
        <f>'Fiber_Ash Inputs'!W97</f>
        <v>64.2</v>
      </c>
      <c r="J124" s="80">
        <f>'Fiber_Ash Inputs'!X97</f>
        <v>7.9</v>
      </c>
      <c r="K124" s="80">
        <f>'Fiber_Ash Inputs'!U97</f>
        <v>3</v>
      </c>
      <c r="L124" s="76">
        <f t="shared" si="48"/>
        <v>24.35079535546226</v>
      </c>
      <c r="M124" s="76">
        <f t="shared" si="49"/>
        <v>94.616843393682686</v>
      </c>
      <c r="N124" s="76">
        <f t="shared" si="50"/>
        <v>22.191011235955056</v>
      </c>
      <c r="O124" s="76">
        <f t="shared" si="51"/>
        <v>22.191011235955056</v>
      </c>
      <c r="P124" s="76">
        <f>(100*((LN((100-O124)-I124)-4.6052)/-'Fiber_Ash Inputs'!$D$17))*'Fiber_Ash Inputs'!$C$17</f>
        <v>7.3869240261072449</v>
      </c>
      <c r="Q124" s="76">
        <f t="shared" si="52"/>
        <v>58.830414718402729</v>
      </c>
      <c r="R124" s="76">
        <f>IF('Fiber_Ash Inputs'!$B$11=30,MILK2024_Imperial!I124,IF('Fiber_Ash Inputs'!$B$11=48,MILK2024_Imperial!I124*0.926))</f>
        <v>64.2</v>
      </c>
      <c r="S124" s="76">
        <f t="shared" si="53"/>
        <v>5.6980000000000004</v>
      </c>
      <c r="T124" s="76">
        <f t="shared" si="54"/>
        <v>1.7094</v>
      </c>
      <c r="U124" s="46">
        <f t="shared" si="55"/>
        <v>2.5</v>
      </c>
      <c r="V124" s="77">
        <f t="shared" si="56"/>
        <v>14.399999999999997</v>
      </c>
      <c r="W124" s="76">
        <f>((G124*0.3+MILK2024_Imperial!$J$22*0.7)/100)*MILK2024_Imperial!AT124</f>
        <v>4.5856445751997779</v>
      </c>
      <c r="X124" s="76">
        <f>((S124*0.3+MILK2024_Imperial!$L$22*0.7)/100)*MILK2024_Imperial!AT124</f>
        <v>2.8283731001045389</v>
      </c>
      <c r="Y124" s="76">
        <f>((T124*0.3+MILK2024_Imperial!$M$22*0.7)/100)*MILK2024_Imperial!AT124</f>
        <v>1.4298208821942155</v>
      </c>
      <c r="Z124" s="76">
        <f t="shared" si="57"/>
        <v>3.4787109692996374</v>
      </c>
      <c r="AA124" s="76">
        <f t="shared" si="58"/>
        <v>1.0436132907898912</v>
      </c>
      <c r="AB124" s="76">
        <f>AA124+MILK2024_Imperial!$U$32</f>
        <v>3.5106375837640469</v>
      </c>
      <c r="AC124" s="76">
        <f>($AC$10*0.2)/(MILK2024_Imperial!AT124)</f>
        <v>2.1952587200950457</v>
      </c>
      <c r="AD124" s="76">
        <f t="shared" si="59"/>
        <v>15.518325182771083</v>
      </c>
      <c r="AE124" s="76">
        <f t="shared" si="60"/>
        <v>3.2733558347128535</v>
      </c>
      <c r="AF124" s="46">
        <f>(AC124*MILK2024_Imperial!AT124)/1000</f>
        <v>6.0000000000000005E-2</v>
      </c>
      <c r="AG124" s="76">
        <f>(AD124*MILK2024_Imperial!AT124)/1000</f>
        <v>0.42414112853447733</v>
      </c>
      <c r="AH124" s="76">
        <f t="shared" si="61"/>
        <v>0.82301469114619663</v>
      </c>
      <c r="AI124" s="50">
        <f t="shared" si="62"/>
        <v>339.84845660228433</v>
      </c>
      <c r="AJ124" s="76">
        <f>(0.0146*AI124)/MILK2024_Imperial!AT124</f>
        <v>0.18154012004763848</v>
      </c>
      <c r="AK124" s="76">
        <f>(0.294*MILK2024_Imperial!AT124-0.347*(U124*0.3+MILK2024_Imperial!$U$17*0.7)+0.0409*(H124*0.3+$F$22*0.7))/MILK2024_Imperial!AT124</f>
        <v>0.28296826901575345</v>
      </c>
      <c r="AL124" s="76">
        <f t="shared" si="63"/>
        <v>2.8088474456494614</v>
      </c>
      <c r="AM124" s="76">
        <f t="shared" si="64"/>
        <v>1.8538393141286447</v>
      </c>
      <c r="AN124" s="76">
        <f t="shared" si="43"/>
        <v>33.538450980075311</v>
      </c>
      <c r="AO124" s="76">
        <f t="shared" si="65"/>
        <v>0.2972717251180757</v>
      </c>
      <c r="AP124" s="78">
        <f t="shared" si="66"/>
        <v>9.9700331806350047</v>
      </c>
      <c r="AQ124" s="78">
        <f t="shared" si="67"/>
        <v>0.8025160835789511</v>
      </c>
      <c r="AR124" s="78">
        <f t="shared" si="44"/>
        <v>13.473017811668925</v>
      </c>
      <c r="AS124" s="78">
        <f t="shared" si="68"/>
        <v>29.640639185671635</v>
      </c>
      <c r="AT124" s="78">
        <f t="shared" si="45"/>
        <v>27.331630413659056</v>
      </c>
      <c r="AU124" s="78">
        <f t="shared" si="69"/>
        <v>60.12958691004993</v>
      </c>
      <c r="AV124" s="78">
        <f t="shared" si="70"/>
        <v>18.038876073014979</v>
      </c>
      <c r="AW124" s="79">
        <f t="shared" si="46"/>
        <v>3286.3066485624522</v>
      </c>
      <c r="AX124" s="79">
        <f t="shared" si="47"/>
        <v>32863.06648562452</v>
      </c>
      <c r="AY124" s="30"/>
      <c r="AZ124" s="1"/>
    </row>
    <row r="125" spans="1:52" x14ac:dyDescent="0.2">
      <c r="A125" s="47" t="s">
        <v>280</v>
      </c>
      <c r="B125" s="47"/>
      <c r="C125" s="48">
        <v>10</v>
      </c>
      <c r="D125" s="48">
        <v>37.1</v>
      </c>
      <c r="E125" s="48">
        <v>76.8</v>
      </c>
      <c r="F125" s="48">
        <v>3.5</v>
      </c>
      <c r="G125" s="48">
        <v>7.4</v>
      </c>
      <c r="H125" s="80">
        <f>'Fiber_Ash Inputs'!V98</f>
        <v>35.6</v>
      </c>
      <c r="I125" s="80">
        <f>'Fiber_Ash Inputs'!W98</f>
        <v>64.2</v>
      </c>
      <c r="J125" s="80">
        <f>'Fiber_Ash Inputs'!X98</f>
        <v>7.9</v>
      </c>
      <c r="K125" s="80">
        <f>'Fiber_Ash Inputs'!U98</f>
        <v>3</v>
      </c>
      <c r="L125" s="76">
        <f t="shared" si="48"/>
        <v>24.35079535546226</v>
      </c>
      <c r="M125" s="76">
        <f t="shared" si="49"/>
        <v>94.616843393682686</v>
      </c>
      <c r="N125" s="76">
        <f t="shared" si="50"/>
        <v>22.191011235955056</v>
      </c>
      <c r="O125" s="76">
        <f t="shared" si="51"/>
        <v>22.191011235955056</v>
      </c>
      <c r="P125" s="76">
        <f>(100*((LN((100-O125)-I125)-4.6052)/-'Fiber_Ash Inputs'!$D$17))*'Fiber_Ash Inputs'!$C$17</f>
        <v>7.3869240261072449</v>
      </c>
      <c r="Q125" s="76">
        <f t="shared" si="52"/>
        <v>58.830414718402729</v>
      </c>
      <c r="R125" s="76">
        <f>IF('Fiber_Ash Inputs'!$B$11=30,MILK2024_Imperial!I125,IF('Fiber_Ash Inputs'!$B$11=48,MILK2024_Imperial!I125*0.926))</f>
        <v>64.2</v>
      </c>
      <c r="S125" s="76">
        <f t="shared" si="53"/>
        <v>5.6980000000000004</v>
      </c>
      <c r="T125" s="76">
        <f t="shared" si="54"/>
        <v>1.7094</v>
      </c>
      <c r="U125" s="46">
        <f t="shared" si="55"/>
        <v>2.5</v>
      </c>
      <c r="V125" s="77">
        <f t="shared" si="56"/>
        <v>14.399999999999997</v>
      </c>
      <c r="W125" s="76">
        <f>((G125*0.3+MILK2024_Imperial!$J$22*0.7)/100)*MILK2024_Imperial!AT125</f>
        <v>4.5856445751997779</v>
      </c>
      <c r="X125" s="76">
        <f>((S125*0.3+MILK2024_Imperial!$L$22*0.7)/100)*MILK2024_Imperial!AT125</f>
        <v>2.8283731001045389</v>
      </c>
      <c r="Y125" s="76">
        <f>((T125*0.3+MILK2024_Imperial!$M$22*0.7)/100)*MILK2024_Imperial!AT125</f>
        <v>1.4298208821942155</v>
      </c>
      <c r="Z125" s="76">
        <f t="shared" si="57"/>
        <v>3.4787109692996374</v>
      </c>
      <c r="AA125" s="76">
        <f t="shared" si="58"/>
        <v>1.0436132907898912</v>
      </c>
      <c r="AB125" s="76">
        <f>AA125+MILK2024_Imperial!$U$32</f>
        <v>3.5106375837640469</v>
      </c>
      <c r="AC125" s="76">
        <f>($AC$10*0.2)/(MILK2024_Imperial!AT125)</f>
        <v>2.1952587200950457</v>
      </c>
      <c r="AD125" s="76">
        <f t="shared" si="59"/>
        <v>15.518325182771083</v>
      </c>
      <c r="AE125" s="76">
        <f t="shared" si="60"/>
        <v>3.2733558347128535</v>
      </c>
      <c r="AF125" s="46">
        <f>(AC125*MILK2024_Imperial!AT125)/1000</f>
        <v>6.0000000000000005E-2</v>
      </c>
      <c r="AG125" s="76">
        <f>(AD125*MILK2024_Imperial!AT125)/1000</f>
        <v>0.42414112853447733</v>
      </c>
      <c r="AH125" s="76">
        <f t="shared" si="61"/>
        <v>0.82301469114619663</v>
      </c>
      <c r="AI125" s="50">
        <f t="shared" si="62"/>
        <v>339.84845660228433</v>
      </c>
      <c r="AJ125" s="76">
        <f>(0.0146*AI125)/MILK2024_Imperial!AT125</f>
        <v>0.18154012004763848</v>
      </c>
      <c r="AK125" s="76">
        <f>(0.294*MILK2024_Imperial!AT125-0.347*(U125*0.3+MILK2024_Imperial!$U$17*0.7)+0.0409*(H125*0.3+$F$22*0.7))/MILK2024_Imperial!AT125</f>
        <v>0.28296826901575345</v>
      </c>
      <c r="AL125" s="76">
        <f t="shared" si="63"/>
        <v>2.8088474456494614</v>
      </c>
      <c r="AM125" s="76">
        <f t="shared" si="64"/>
        <v>1.8538393141286447</v>
      </c>
      <c r="AN125" s="76">
        <f t="shared" si="43"/>
        <v>33.538450980075311</v>
      </c>
      <c r="AO125" s="76">
        <f t="shared" si="65"/>
        <v>0.2972717251180757</v>
      </c>
      <c r="AP125" s="78">
        <f t="shared" si="66"/>
        <v>9.9700331806350047</v>
      </c>
      <c r="AQ125" s="78">
        <f t="shared" si="67"/>
        <v>0.8025160835789511</v>
      </c>
      <c r="AR125" s="78">
        <f t="shared" si="44"/>
        <v>13.473017811668925</v>
      </c>
      <c r="AS125" s="78">
        <f t="shared" si="68"/>
        <v>29.640639185671635</v>
      </c>
      <c r="AT125" s="78">
        <f t="shared" si="45"/>
        <v>27.331630413659056</v>
      </c>
      <c r="AU125" s="78">
        <f t="shared" si="69"/>
        <v>60.12958691004993</v>
      </c>
      <c r="AV125" s="78">
        <f t="shared" si="70"/>
        <v>18.038876073014979</v>
      </c>
      <c r="AW125" s="79">
        <f t="shared" si="46"/>
        <v>3286.3066485624522</v>
      </c>
      <c r="AX125" s="79">
        <f t="shared" si="47"/>
        <v>32863.06648562452</v>
      </c>
      <c r="AY125" s="30"/>
      <c r="AZ125" s="1"/>
    </row>
    <row r="126" spans="1:52" x14ac:dyDescent="0.2">
      <c r="A126" s="47" t="s">
        <v>281</v>
      </c>
      <c r="B126" s="47"/>
      <c r="C126" s="48">
        <v>10</v>
      </c>
      <c r="D126" s="48">
        <v>37.1</v>
      </c>
      <c r="E126" s="48">
        <v>76.8</v>
      </c>
      <c r="F126" s="48">
        <v>3.5</v>
      </c>
      <c r="G126" s="48">
        <v>7.4</v>
      </c>
      <c r="H126" s="80">
        <f>'Fiber_Ash Inputs'!V99</f>
        <v>35.6</v>
      </c>
      <c r="I126" s="80">
        <f>'Fiber_Ash Inputs'!W99</f>
        <v>64.2</v>
      </c>
      <c r="J126" s="80">
        <f>'Fiber_Ash Inputs'!X99</f>
        <v>7.9</v>
      </c>
      <c r="K126" s="80">
        <f>'Fiber_Ash Inputs'!U99</f>
        <v>3.8</v>
      </c>
      <c r="L126" s="76">
        <f t="shared" si="48"/>
        <v>24.35079535546226</v>
      </c>
      <c r="M126" s="76">
        <f t="shared" si="49"/>
        <v>94.616843393682686</v>
      </c>
      <c r="N126" s="76">
        <f t="shared" si="50"/>
        <v>22.191011235955056</v>
      </c>
      <c r="O126" s="76">
        <f t="shared" si="51"/>
        <v>22.191011235955056</v>
      </c>
      <c r="P126" s="76">
        <f>(100*((LN((100-O126)-I126)-4.6052)/-'Fiber_Ash Inputs'!$D$17))*'Fiber_Ash Inputs'!$C$17</f>
        <v>7.3869240261072449</v>
      </c>
      <c r="Q126" s="76">
        <f t="shared" si="52"/>
        <v>58.830414718402729</v>
      </c>
      <c r="R126" s="76">
        <f>IF('Fiber_Ash Inputs'!$B$11=30,MILK2024_Imperial!I126,IF('Fiber_Ash Inputs'!$B$11=48,MILK2024_Imperial!I126*0.926))</f>
        <v>64.2</v>
      </c>
      <c r="S126" s="76">
        <f t="shared" si="53"/>
        <v>5.6980000000000004</v>
      </c>
      <c r="T126" s="76">
        <f t="shared" si="54"/>
        <v>1.7094</v>
      </c>
      <c r="U126" s="46">
        <f t="shared" si="55"/>
        <v>2.5</v>
      </c>
      <c r="V126" s="77">
        <f t="shared" si="56"/>
        <v>13.6</v>
      </c>
      <c r="W126" s="76">
        <f>((G126*0.3+MILK2024_Imperial!$J$22*0.7)/100)*MILK2024_Imperial!AT126</f>
        <v>4.5856445751997779</v>
      </c>
      <c r="X126" s="76">
        <f>((S126*0.3+MILK2024_Imperial!$L$22*0.7)/100)*MILK2024_Imperial!AT126</f>
        <v>2.8283731001045389</v>
      </c>
      <c r="Y126" s="76">
        <f>((T126*0.3+MILK2024_Imperial!$M$22*0.7)/100)*MILK2024_Imperial!AT126</f>
        <v>1.4298208821942155</v>
      </c>
      <c r="Z126" s="76">
        <f t="shared" si="57"/>
        <v>3.4495909692996376</v>
      </c>
      <c r="AA126" s="76">
        <f t="shared" si="58"/>
        <v>1.0348772907898913</v>
      </c>
      <c r="AB126" s="76">
        <f>AA126+MILK2024_Imperial!$U$32</f>
        <v>3.501901583764047</v>
      </c>
      <c r="AC126" s="76">
        <f>($AC$10*0.2)/(MILK2024_Imperial!AT126)</f>
        <v>2.1952587200950457</v>
      </c>
      <c r="AD126" s="76">
        <f t="shared" si="59"/>
        <v>15.518325182771083</v>
      </c>
      <c r="AE126" s="76">
        <f t="shared" si="60"/>
        <v>3.2646198347128537</v>
      </c>
      <c r="AF126" s="46">
        <f>(AC126*MILK2024_Imperial!AT126)/1000</f>
        <v>6.0000000000000005E-2</v>
      </c>
      <c r="AG126" s="76">
        <f>(AD126*MILK2024_Imperial!AT126)/1000</f>
        <v>0.42414112853447733</v>
      </c>
      <c r="AH126" s="76">
        <f t="shared" si="61"/>
        <v>0.82301469114619663</v>
      </c>
      <c r="AI126" s="50">
        <f t="shared" si="62"/>
        <v>339.84845660228433</v>
      </c>
      <c r="AJ126" s="76">
        <f>(0.0146*AI126)/MILK2024_Imperial!AT126</f>
        <v>0.18154012004763848</v>
      </c>
      <c r="AK126" s="76">
        <f>(0.294*MILK2024_Imperial!AT126-0.347*(U126*0.3+MILK2024_Imperial!$U$17*0.7)+0.0409*(H126*0.3+$F$22*0.7))/MILK2024_Imperial!AT126</f>
        <v>0.28296826901575345</v>
      </c>
      <c r="AL126" s="76">
        <f t="shared" si="63"/>
        <v>2.8001114456494616</v>
      </c>
      <c r="AM126" s="76">
        <f t="shared" si="64"/>
        <v>1.8480735541286448</v>
      </c>
      <c r="AN126" s="76">
        <f t="shared" si="43"/>
        <v>33.380863358701461</v>
      </c>
      <c r="AO126" s="76">
        <f t="shared" si="65"/>
        <v>0.29551866779692454</v>
      </c>
      <c r="AP126" s="78">
        <f t="shared" si="66"/>
        <v>9.8646682696746275</v>
      </c>
      <c r="AQ126" s="78">
        <f t="shared" si="67"/>
        <v>0.79403496479443159</v>
      </c>
      <c r="AR126" s="78">
        <f t="shared" si="44"/>
        <v>13.330632796857605</v>
      </c>
      <c r="AS126" s="78">
        <f t="shared" si="68"/>
        <v>29.327392153086734</v>
      </c>
      <c r="AT126" s="78">
        <f t="shared" si="45"/>
        <v>27.331630413659056</v>
      </c>
      <c r="AU126" s="78">
        <f t="shared" si="69"/>
        <v>60.12958691004993</v>
      </c>
      <c r="AV126" s="78">
        <f t="shared" si="70"/>
        <v>18.038876073014979</v>
      </c>
      <c r="AW126" s="79">
        <f t="shared" si="46"/>
        <v>3251.576432409629</v>
      </c>
      <c r="AX126" s="79">
        <f t="shared" si="47"/>
        <v>32515.76432409629</v>
      </c>
      <c r="AY126" s="30"/>
      <c r="AZ126" s="1"/>
    </row>
    <row r="127" spans="1:52" x14ac:dyDescent="0.2">
      <c r="A127" s="20"/>
      <c r="B127" s="20"/>
      <c r="C127" s="2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1"/>
    </row>
    <row r="128" spans="1:52" x14ac:dyDescent="0.2">
      <c r="A128" s="20"/>
      <c r="B128" s="20"/>
      <c r="C128" s="2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1"/>
    </row>
    <row r="129" spans="1:52" x14ac:dyDescent="0.2">
      <c r="A129" s="20"/>
      <c r="B129" s="20"/>
      <c r="C129" s="2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1"/>
    </row>
  </sheetData>
  <sheetProtection algorithmName="SHA-512" hashValue="mhylcRf2/mnWdYfunMxRrMq1mp+4rsmbppZRKghLay2H+68nebIpgoQKkKjGKkTBRso/qJspEZ2MgcfFPXy79A==" saltValue="0xViTOOAeHtro6K2cM+9Qg==" spinCount="100000" sheet="1" objects="1" scenarios="1"/>
  <mergeCells count="16">
    <mergeCell ref="AQ5:AX5"/>
    <mergeCell ref="AQ6:AX6"/>
    <mergeCell ref="AQ7:AX7"/>
    <mergeCell ref="A36:B36"/>
    <mergeCell ref="C2:K3"/>
    <mergeCell ref="L36:V36"/>
    <mergeCell ref="A8:V8"/>
    <mergeCell ref="Z8:AS8"/>
    <mergeCell ref="D9:M9"/>
    <mergeCell ref="D21:M21"/>
    <mergeCell ref="A24:K24"/>
    <mergeCell ref="W35:AS35"/>
    <mergeCell ref="S9:V9"/>
    <mergeCell ref="A2:B2"/>
    <mergeCell ref="A3:B3"/>
    <mergeCell ref="A4:B7"/>
  </mergeCells>
  <phoneticPr fontId="1" type="noConversion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24988-CA09-4605-959F-615A7FFAEEC2}">
  <dimension ref="A1:BA129"/>
  <sheetViews>
    <sheetView workbookViewId="0">
      <selection activeCell="BA38" sqref="BA38"/>
    </sheetView>
  </sheetViews>
  <sheetFormatPr defaultColWidth="8.85546875" defaultRowHeight="15" x14ac:dyDescent="0.25"/>
  <cols>
    <col min="1" max="1" width="18.28515625" style="21" customWidth="1"/>
    <col min="2" max="2" width="10.28515625" style="21" customWidth="1"/>
    <col min="3" max="3" width="10.5703125" style="21" customWidth="1"/>
    <col min="4" max="5" width="8.85546875" style="46"/>
    <col min="6" max="6" width="9.140625" style="46" customWidth="1"/>
    <col min="7" max="7" width="10.7109375" style="46" customWidth="1"/>
    <col min="8" max="8" width="9.28515625" style="46" customWidth="1"/>
    <col min="9" max="9" width="9.85546875" style="46" customWidth="1"/>
    <col min="10" max="10" width="9.7109375" style="46" customWidth="1"/>
    <col min="11" max="11" width="9.28515625" style="46" customWidth="1"/>
    <col min="12" max="12" width="9.42578125" style="46" hidden="1" customWidth="1"/>
    <col min="13" max="13" width="6" style="46" hidden="1" customWidth="1"/>
    <col min="14" max="14" width="12" style="46" hidden="1" customWidth="1"/>
    <col min="15" max="15" width="9.7109375" style="46" hidden="1" customWidth="1"/>
    <col min="16" max="16" width="7.42578125" style="46" hidden="1" customWidth="1"/>
    <col min="17" max="17" width="8" style="46" hidden="1" customWidth="1"/>
    <col min="18" max="18" width="7.28515625" style="46" hidden="1" customWidth="1"/>
    <col min="19" max="19" width="8.28515625" style="46" hidden="1" customWidth="1"/>
    <col min="20" max="20" width="6" style="46" hidden="1" customWidth="1"/>
    <col min="21" max="21" width="19" style="46" hidden="1" customWidth="1"/>
    <col min="22" max="22" width="5.28515625" style="46" hidden="1" customWidth="1"/>
    <col min="23" max="23" width="8.85546875" style="46" hidden="1" customWidth="1"/>
    <col min="24" max="24" width="10.28515625" style="46" hidden="1" customWidth="1"/>
    <col min="25" max="25" width="11.140625" style="46" hidden="1" customWidth="1"/>
    <col min="26" max="26" width="7.42578125" style="46" hidden="1" customWidth="1"/>
    <col min="27" max="27" width="16.85546875" style="46" hidden="1" customWidth="1"/>
    <col min="28" max="28" width="11" style="46" hidden="1" customWidth="1"/>
    <col min="29" max="29" width="8.5703125" style="46" hidden="1" customWidth="1"/>
    <col min="30" max="30" width="9.140625" style="46" hidden="1" customWidth="1"/>
    <col min="31" max="31" width="10.85546875" style="46" hidden="1" customWidth="1"/>
    <col min="32" max="32" width="10.140625" style="46" hidden="1" customWidth="1"/>
    <col min="33" max="33" width="10.7109375" style="46" hidden="1" customWidth="1"/>
    <col min="34" max="34" width="5.85546875" style="46" hidden="1" customWidth="1"/>
    <col min="35" max="35" width="13.7109375" style="46" hidden="1" customWidth="1"/>
    <col min="36" max="36" width="7.140625" style="46" hidden="1" customWidth="1"/>
    <col min="37" max="37" width="6" style="46" hidden="1" customWidth="1"/>
    <col min="38" max="39" width="10.85546875" style="46" hidden="1" customWidth="1"/>
    <col min="40" max="40" width="15.85546875" style="46" hidden="1" customWidth="1"/>
    <col min="41" max="41" width="15" style="46" hidden="1" customWidth="1"/>
    <col min="42" max="42" width="9.42578125" style="46" hidden="1" customWidth="1"/>
    <col min="43" max="43" width="7.7109375" style="46" bestFit="1" customWidth="1"/>
    <col min="44" max="44" width="12.140625" style="46" hidden="1" customWidth="1"/>
    <col min="45" max="45" width="8.28515625" style="46" hidden="1" customWidth="1"/>
    <col min="46" max="46" width="8.7109375" style="46" hidden="1" customWidth="1"/>
    <col min="47" max="47" width="10.7109375" style="46" hidden="1" customWidth="1"/>
    <col min="48" max="48" width="7.42578125" style="46" hidden="1" customWidth="1"/>
    <col min="49" max="49" width="11.42578125" style="46" bestFit="1" customWidth="1"/>
    <col min="50" max="50" width="10.7109375" style="46" customWidth="1"/>
    <col min="51" max="51" width="10.28515625" style="46" customWidth="1"/>
    <col min="52" max="52" width="10.5703125" style="3" bestFit="1" customWidth="1"/>
    <col min="53" max="53" width="11.42578125" style="3" customWidth="1"/>
    <col min="54" max="16384" width="8.85546875" style="10"/>
  </cols>
  <sheetData>
    <row r="1" spans="1:52" x14ac:dyDescent="0.25">
      <c r="A1" s="1"/>
      <c r="B1" s="1"/>
      <c r="C1" s="1"/>
      <c r="D1" s="54"/>
      <c r="E1" s="54"/>
      <c r="F1" s="54"/>
      <c r="G1" s="54"/>
      <c r="H1" s="54"/>
      <c r="I1" s="54"/>
      <c r="J1" s="54"/>
      <c r="K1" s="54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1"/>
    </row>
    <row r="2" spans="1:52" ht="18" x14ac:dyDescent="0.25">
      <c r="A2" s="97" t="s">
        <v>116</v>
      </c>
      <c r="B2" s="98"/>
      <c r="C2" s="109" t="s">
        <v>117</v>
      </c>
      <c r="D2" s="102"/>
      <c r="E2" s="102"/>
      <c r="F2" s="102"/>
      <c r="G2" s="102"/>
      <c r="H2" s="102"/>
      <c r="I2" s="102"/>
      <c r="J2" s="102"/>
      <c r="K2" s="102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7"/>
      <c r="AQ2" s="57"/>
      <c r="AR2" s="57"/>
      <c r="AS2" s="57"/>
      <c r="AT2" s="57"/>
      <c r="AU2" s="57"/>
      <c r="AV2" s="57"/>
      <c r="AW2" s="57"/>
      <c r="AX2" s="57"/>
      <c r="AY2" s="54"/>
      <c r="AZ2" s="1"/>
    </row>
    <row r="3" spans="1:52" ht="18" x14ac:dyDescent="0.25">
      <c r="A3" s="99">
        <v>2024</v>
      </c>
      <c r="B3" s="100"/>
      <c r="C3" s="109"/>
      <c r="D3" s="102"/>
      <c r="E3" s="102"/>
      <c r="F3" s="102"/>
      <c r="G3" s="102"/>
      <c r="H3" s="102"/>
      <c r="I3" s="102"/>
      <c r="J3" s="102"/>
      <c r="K3" s="102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7"/>
      <c r="AQ3" s="57"/>
      <c r="AR3" s="57"/>
      <c r="AS3" s="57"/>
      <c r="AT3" s="57"/>
      <c r="AU3" s="57"/>
      <c r="AV3" s="57"/>
      <c r="AW3" s="57"/>
      <c r="AX3" s="57"/>
      <c r="AY3" s="54"/>
      <c r="AZ3" s="1"/>
    </row>
    <row r="4" spans="1:52" x14ac:dyDescent="0.25">
      <c r="A4" s="111"/>
      <c r="B4" s="111"/>
      <c r="C4" s="22" t="s">
        <v>148</v>
      </c>
      <c r="D4" s="23"/>
      <c r="E4" s="23"/>
      <c r="F4" s="23"/>
      <c r="G4" s="23"/>
      <c r="H4" s="23"/>
      <c r="I4" s="23"/>
      <c r="J4" s="23"/>
      <c r="K4" s="58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1"/>
    </row>
    <row r="5" spans="1:52" x14ac:dyDescent="0.25">
      <c r="A5" s="101"/>
      <c r="B5" s="101"/>
      <c r="C5" s="22" t="s">
        <v>118</v>
      </c>
      <c r="D5" s="23"/>
      <c r="E5" s="23"/>
      <c r="F5" s="23"/>
      <c r="G5" s="23"/>
      <c r="H5" s="23"/>
      <c r="I5" s="23"/>
      <c r="J5" s="23"/>
      <c r="K5" s="59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107" t="s">
        <v>106</v>
      </c>
      <c r="AQ5" s="107"/>
      <c r="AR5" s="107"/>
      <c r="AS5" s="107"/>
      <c r="AT5" s="107"/>
      <c r="AU5" s="107"/>
      <c r="AV5" s="107"/>
      <c r="AW5" s="107"/>
      <c r="AX5" s="107"/>
      <c r="AY5" s="54"/>
      <c r="AZ5" s="1"/>
    </row>
    <row r="6" spans="1:52" x14ac:dyDescent="0.25">
      <c r="A6" s="101"/>
      <c r="B6" s="101"/>
      <c r="C6" s="22" t="s">
        <v>295</v>
      </c>
      <c r="D6" s="23"/>
      <c r="E6" s="23"/>
      <c r="F6" s="23"/>
      <c r="G6" s="23"/>
      <c r="H6" s="23"/>
      <c r="I6" s="23"/>
      <c r="J6" s="23"/>
      <c r="K6" s="59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105" t="s">
        <v>104</v>
      </c>
      <c r="AQ6" s="105"/>
      <c r="AR6" s="105"/>
      <c r="AS6" s="105"/>
      <c r="AT6" s="105"/>
      <c r="AU6" s="105"/>
      <c r="AV6" s="105"/>
      <c r="AW6" s="105"/>
      <c r="AX6" s="105"/>
      <c r="AY6" s="54"/>
      <c r="AZ6" s="1"/>
    </row>
    <row r="7" spans="1:52" x14ac:dyDescent="0.25">
      <c r="A7" s="101"/>
      <c r="B7" s="101"/>
      <c r="C7" s="22" t="s">
        <v>187</v>
      </c>
      <c r="D7" s="23"/>
      <c r="E7" s="23"/>
      <c r="F7" s="23"/>
      <c r="G7" s="23"/>
      <c r="H7" s="23"/>
      <c r="I7" s="23"/>
      <c r="J7" s="23"/>
      <c r="K7" s="60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106" t="s">
        <v>105</v>
      </c>
      <c r="AQ7" s="106"/>
      <c r="AR7" s="106"/>
      <c r="AS7" s="106"/>
      <c r="AT7" s="106"/>
      <c r="AU7" s="106"/>
      <c r="AV7" s="106"/>
      <c r="AW7" s="106"/>
      <c r="AX7" s="106"/>
      <c r="AY7" s="54"/>
      <c r="AZ7" s="1"/>
    </row>
    <row r="8" spans="1:52" hidden="1" x14ac:dyDescent="0.25">
      <c r="A8" s="111" t="s">
        <v>50</v>
      </c>
      <c r="B8" s="11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12"/>
      <c r="W8" s="61"/>
      <c r="X8" s="61"/>
      <c r="Y8" s="61"/>
      <c r="Z8" s="113" t="s">
        <v>51</v>
      </c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11"/>
      <c r="AQ8" s="111"/>
      <c r="AR8" s="111"/>
      <c r="AS8" s="111"/>
      <c r="AT8" s="55"/>
      <c r="AU8" s="55"/>
      <c r="AV8" s="55"/>
      <c r="AW8" s="55"/>
      <c r="AX8" s="55"/>
      <c r="AY8" s="54"/>
      <c r="AZ8" s="1"/>
    </row>
    <row r="9" spans="1:52" hidden="1" x14ac:dyDescent="0.25">
      <c r="A9" s="3"/>
      <c r="B9" s="3"/>
      <c r="C9" s="3"/>
      <c r="D9" s="114" t="s">
        <v>63</v>
      </c>
      <c r="E9" s="114"/>
      <c r="F9" s="114"/>
      <c r="G9" s="114"/>
      <c r="H9" s="114"/>
      <c r="I9" s="114"/>
      <c r="J9" s="114"/>
      <c r="K9" s="114"/>
      <c r="L9" s="114"/>
      <c r="M9" s="114"/>
      <c r="N9" s="55"/>
      <c r="O9" s="55"/>
      <c r="P9" s="55"/>
      <c r="Q9" s="55"/>
      <c r="R9" s="55"/>
      <c r="S9" s="114" t="s">
        <v>60</v>
      </c>
      <c r="T9" s="114"/>
      <c r="U9" s="114"/>
      <c r="V9" s="113"/>
      <c r="W9" s="55"/>
      <c r="X9" s="55"/>
      <c r="Y9" s="55"/>
      <c r="Z9" s="55"/>
      <c r="AA9" s="55" t="s">
        <v>53</v>
      </c>
      <c r="AB9" s="55"/>
      <c r="AC9" s="55" t="s">
        <v>84</v>
      </c>
      <c r="AD9" s="55"/>
      <c r="AE9" s="62"/>
      <c r="AF9" s="62"/>
      <c r="AG9" s="62"/>
      <c r="AH9" s="62"/>
      <c r="AI9" s="55" t="s">
        <v>37</v>
      </c>
      <c r="AJ9" s="62"/>
      <c r="AK9" s="62"/>
      <c r="AL9" s="55"/>
      <c r="AM9" s="55"/>
      <c r="AN9" s="55" t="s">
        <v>67</v>
      </c>
      <c r="AO9" s="55"/>
      <c r="AP9" s="55"/>
      <c r="AQ9" s="55"/>
      <c r="AR9" s="61" t="s">
        <v>57</v>
      </c>
      <c r="AS9" s="55"/>
      <c r="AT9" s="55"/>
      <c r="AU9" s="55" t="s">
        <v>59</v>
      </c>
      <c r="AV9" s="55"/>
      <c r="AW9" s="55"/>
      <c r="AX9" s="55"/>
      <c r="AY9" s="1"/>
      <c r="AZ9" s="1"/>
    </row>
    <row r="10" spans="1:52" hidden="1" x14ac:dyDescent="0.25">
      <c r="A10" s="10"/>
      <c r="B10" s="3"/>
      <c r="C10" s="3" t="s">
        <v>13</v>
      </c>
      <c r="D10" s="55" t="s">
        <v>0</v>
      </c>
      <c r="E10" s="55" t="s">
        <v>1</v>
      </c>
      <c r="F10" s="55" t="s">
        <v>2</v>
      </c>
      <c r="G10" s="55" t="s">
        <v>3</v>
      </c>
      <c r="H10" s="55" t="s">
        <v>90</v>
      </c>
      <c r="I10" s="55" t="s">
        <v>4</v>
      </c>
      <c r="J10" s="55" t="s">
        <v>5</v>
      </c>
      <c r="K10" s="55" t="s">
        <v>6</v>
      </c>
      <c r="L10" s="55" t="s">
        <v>9</v>
      </c>
      <c r="M10" s="55" t="s">
        <v>27</v>
      </c>
      <c r="N10" s="55"/>
      <c r="O10" s="55"/>
      <c r="P10" s="55"/>
      <c r="Q10" s="55"/>
      <c r="R10" s="55"/>
      <c r="S10" s="55" t="s">
        <v>87</v>
      </c>
      <c r="T10" s="55"/>
      <c r="U10" s="55" t="s">
        <v>7</v>
      </c>
      <c r="V10" s="63"/>
      <c r="W10" s="55"/>
      <c r="X10" s="55"/>
      <c r="Y10" s="55"/>
      <c r="Z10" s="55"/>
      <c r="AA10" s="55">
        <v>30</v>
      </c>
      <c r="AB10" s="55"/>
      <c r="AC10" s="55">
        <v>300</v>
      </c>
      <c r="AD10" s="55"/>
      <c r="AE10" s="55"/>
      <c r="AF10" s="55"/>
      <c r="AG10" s="55"/>
      <c r="AH10" s="55"/>
      <c r="AI10" s="55">
        <v>1.65</v>
      </c>
      <c r="AJ10" s="55"/>
      <c r="AK10" s="55"/>
      <c r="AL10" s="55"/>
      <c r="AM10" s="55"/>
      <c r="AN10" s="55" t="s">
        <v>69</v>
      </c>
      <c r="AO10" s="55"/>
      <c r="AP10" s="55"/>
      <c r="AQ10" s="55"/>
      <c r="AR10" s="55" t="s">
        <v>41</v>
      </c>
      <c r="AS10" s="55"/>
      <c r="AT10" s="55"/>
      <c r="AU10" s="55">
        <v>19</v>
      </c>
      <c r="AV10" s="55"/>
      <c r="AW10" s="55"/>
      <c r="AX10" s="55"/>
      <c r="AY10" s="1"/>
      <c r="AZ10" s="1"/>
    </row>
    <row r="11" spans="1:52" hidden="1" x14ac:dyDescent="0.25">
      <c r="A11" s="10"/>
      <c r="B11" s="3"/>
      <c r="C11" s="3" t="s">
        <v>14</v>
      </c>
      <c r="D11" s="55">
        <v>3</v>
      </c>
      <c r="E11" s="55">
        <v>91</v>
      </c>
      <c r="F11" s="55">
        <v>38.799999999999997</v>
      </c>
      <c r="G11" s="55">
        <v>46.2</v>
      </c>
      <c r="H11" s="55">
        <v>43.1</v>
      </c>
      <c r="I11" s="55">
        <v>3.6</v>
      </c>
      <c r="J11" s="55">
        <v>20.7</v>
      </c>
      <c r="K11" s="55">
        <v>10.9</v>
      </c>
      <c r="L11" s="64">
        <f>J11*0.73</f>
        <v>15.110999999999999</v>
      </c>
      <c r="M11" s="64">
        <f>(J11*0.27)*0.7</f>
        <v>3.9123000000000001</v>
      </c>
      <c r="N11" s="64"/>
      <c r="O11" s="64"/>
      <c r="P11" s="64"/>
      <c r="Q11" s="64"/>
      <c r="R11" s="64"/>
      <c r="S11" s="64">
        <f>100*((LN((100-H22)-G22)-4.6052)/-27)</f>
        <v>5.2408434197425455</v>
      </c>
      <c r="T11" s="55"/>
      <c r="U11" s="64">
        <f>100*((LN(100-E22)-4.6052)/-6)</f>
        <v>30.037227268365179</v>
      </c>
      <c r="V11" s="63"/>
      <c r="W11" s="55"/>
      <c r="X11" s="55"/>
      <c r="Y11" s="55"/>
      <c r="Z11" s="55"/>
      <c r="AA11" s="55"/>
      <c r="AB11" s="55"/>
      <c r="AC11" s="55"/>
      <c r="AD11" s="55"/>
      <c r="AE11" s="55"/>
      <c r="AF11" s="64"/>
      <c r="AG11" s="64"/>
      <c r="AH11" s="64"/>
      <c r="AI11" s="55"/>
      <c r="AJ11" s="64"/>
      <c r="AK11" s="64"/>
      <c r="AL11" s="55"/>
      <c r="AM11" s="55"/>
      <c r="AN11" s="55">
        <v>14.33</v>
      </c>
      <c r="AO11" s="55"/>
      <c r="AP11" s="55"/>
      <c r="AQ11" s="55"/>
      <c r="AR11" s="55">
        <v>0.04</v>
      </c>
      <c r="AS11" s="64"/>
      <c r="AT11" s="55"/>
      <c r="AU11" s="55"/>
      <c r="AV11" s="55"/>
      <c r="AW11" s="55"/>
      <c r="AX11" s="55"/>
      <c r="AY11" s="54"/>
      <c r="AZ11" s="1"/>
    </row>
    <row r="12" spans="1:52" hidden="1" x14ac:dyDescent="0.25">
      <c r="A12" s="10"/>
      <c r="B12" s="3"/>
      <c r="C12" s="3" t="s">
        <v>15</v>
      </c>
      <c r="D12" s="55">
        <v>71.3</v>
      </c>
      <c r="E12" s="55">
        <v>62</v>
      </c>
      <c r="F12" s="55">
        <v>8.4</v>
      </c>
      <c r="G12" s="55">
        <v>50.9</v>
      </c>
      <c r="H12" s="65">
        <v>28.95979046338423</v>
      </c>
      <c r="I12" s="55">
        <v>4</v>
      </c>
      <c r="J12" s="55">
        <v>7.4</v>
      </c>
      <c r="K12" s="55">
        <v>1.6</v>
      </c>
      <c r="L12" s="64">
        <f>J12*0.61</f>
        <v>4.5140000000000002</v>
      </c>
      <c r="M12" s="64">
        <f>(J12*0.39)*0.9</f>
        <v>2.5974000000000004</v>
      </c>
      <c r="N12" s="64"/>
      <c r="O12" s="64"/>
      <c r="P12" s="64"/>
      <c r="Q12" s="64"/>
      <c r="R12" s="64"/>
      <c r="S12" s="55"/>
      <c r="T12" s="55"/>
      <c r="U12" s="55"/>
      <c r="V12" s="63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 t="s">
        <v>86</v>
      </c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 t="s">
        <v>30</v>
      </c>
      <c r="AV12" s="55"/>
      <c r="AW12" s="55"/>
      <c r="AX12" s="55"/>
      <c r="AY12" s="54"/>
      <c r="AZ12" s="1"/>
    </row>
    <row r="13" spans="1:52" hidden="1" x14ac:dyDescent="0.25">
      <c r="A13" s="10"/>
      <c r="B13" s="3"/>
      <c r="C13" s="3" t="s">
        <v>16</v>
      </c>
      <c r="D13" s="55">
        <v>0.8</v>
      </c>
      <c r="E13" s="55">
        <v>91</v>
      </c>
      <c r="F13" s="55">
        <v>50.6</v>
      </c>
      <c r="G13" s="55">
        <v>12.8</v>
      </c>
      <c r="H13" s="65">
        <v>28.95979046338423</v>
      </c>
      <c r="I13" s="55">
        <v>19.260000000000002</v>
      </c>
      <c r="J13" s="55">
        <v>23.3</v>
      </c>
      <c r="K13" s="55">
        <v>4.2</v>
      </c>
      <c r="L13" s="64">
        <f>J13*0.46</f>
        <v>10.718</v>
      </c>
      <c r="M13" s="64">
        <f>(J13*0.54)*0.5</f>
        <v>6.2910000000000004</v>
      </c>
      <c r="N13" s="64"/>
      <c r="O13" s="64"/>
      <c r="P13" s="64"/>
      <c r="Q13" s="64"/>
      <c r="R13" s="64"/>
      <c r="S13" s="55" t="s">
        <v>89</v>
      </c>
      <c r="T13" s="55"/>
      <c r="U13" s="55" t="s">
        <v>8</v>
      </c>
      <c r="V13" s="63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 t="s">
        <v>70</v>
      </c>
      <c r="AO13" s="55"/>
      <c r="AP13" s="55"/>
      <c r="AQ13" s="55"/>
      <c r="AR13" s="55" t="s">
        <v>42</v>
      </c>
      <c r="AS13" s="55"/>
      <c r="AT13" s="55"/>
      <c r="AU13" s="55">
        <v>52</v>
      </c>
      <c r="AV13" s="55"/>
      <c r="AW13" s="55"/>
      <c r="AX13" s="55"/>
      <c r="AY13" s="54"/>
      <c r="AZ13" s="1"/>
    </row>
    <row r="14" spans="1:52" hidden="1" x14ac:dyDescent="0.25">
      <c r="A14" s="10"/>
      <c r="B14" s="3"/>
      <c r="C14" s="3" t="s">
        <v>17</v>
      </c>
      <c r="D14" s="55">
        <v>70.400000000000006</v>
      </c>
      <c r="E14" s="55">
        <v>92</v>
      </c>
      <c r="F14" s="55">
        <v>9.8000000000000007</v>
      </c>
      <c r="G14" s="55">
        <v>62.3</v>
      </c>
      <c r="H14" s="65">
        <v>28.95979046338423</v>
      </c>
      <c r="I14" s="55">
        <v>4.84</v>
      </c>
      <c r="J14" s="55">
        <v>8.5</v>
      </c>
      <c r="K14" s="55">
        <v>1.5</v>
      </c>
      <c r="L14" s="64">
        <f>J14*0.57</f>
        <v>4.8449999999999998</v>
      </c>
      <c r="M14" s="64">
        <f>(J14*0.43)*0.73</f>
        <v>2.6681499999999998</v>
      </c>
      <c r="N14" s="64"/>
      <c r="O14" s="64"/>
      <c r="P14" s="64"/>
      <c r="Q14" s="64"/>
      <c r="R14" s="64"/>
      <c r="S14" s="64">
        <f>(100-H22)*((S11/(S11+3.36)))</f>
        <v>42.056800298276059</v>
      </c>
      <c r="T14" s="55"/>
      <c r="U14" s="64">
        <f>82.224+(0.185*(100*(U11/(U11+12))))</f>
        <v>95.442966629679105</v>
      </c>
      <c r="V14" s="63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>
        <v>2.8</v>
      </c>
      <c r="AO14" s="55"/>
      <c r="AP14" s="55"/>
      <c r="AQ14" s="55"/>
      <c r="AR14" s="55">
        <v>3.1E-2</v>
      </c>
      <c r="AS14" s="55"/>
      <c r="AT14" s="55"/>
      <c r="AU14" s="55"/>
      <c r="AV14" s="55"/>
      <c r="AW14" s="55"/>
      <c r="AX14" s="55"/>
      <c r="AY14" s="54"/>
      <c r="AZ14" s="1"/>
    </row>
    <row r="15" spans="1:52" hidden="1" x14ac:dyDescent="0.25">
      <c r="A15" s="10"/>
      <c r="B15" s="3"/>
      <c r="C15" s="3" t="s">
        <v>18</v>
      </c>
      <c r="D15" s="55">
        <v>1</v>
      </c>
      <c r="E15" s="55">
        <v>91</v>
      </c>
      <c r="F15" s="55">
        <v>66.7</v>
      </c>
      <c r="G15" s="55">
        <v>88.1</v>
      </c>
      <c r="H15" s="65">
        <v>28.95979046338423</v>
      </c>
      <c r="I15" s="55">
        <v>2.61</v>
      </c>
      <c r="J15" s="55">
        <v>11.9</v>
      </c>
      <c r="K15" s="55">
        <v>5.2</v>
      </c>
      <c r="L15" s="64">
        <f>J15*0.63</f>
        <v>7.4969999999999999</v>
      </c>
      <c r="M15" s="64">
        <f>(J15*0.37)*0.68</f>
        <v>2.9940400000000005</v>
      </c>
      <c r="N15" s="64"/>
      <c r="O15" s="64"/>
      <c r="P15" s="64"/>
      <c r="Q15" s="64"/>
      <c r="R15" s="64"/>
      <c r="S15" s="55"/>
      <c r="T15" s="55"/>
      <c r="U15" s="55"/>
      <c r="V15" s="63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4"/>
      <c r="AZ15" s="1"/>
    </row>
    <row r="16" spans="1:52" hidden="1" x14ac:dyDescent="0.25">
      <c r="A16" s="10"/>
      <c r="B16" s="3"/>
      <c r="C16" s="3" t="s">
        <v>19</v>
      </c>
      <c r="D16" s="55">
        <v>1.8</v>
      </c>
      <c r="E16" s="55">
        <v>91</v>
      </c>
      <c r="F16" s="55">
        <v>19.600000000000001</v>
      </c>
      <c r="G16" s="55"/>
      <c r="H16" s="55"/>
      <c r="I16" s="55">
        <v>7.12</v>
      </c>
      <c r="J16" s="55">
        <v>47.6</v>
      </c>
      <c r="K16" s="55">
        <v>5.2</v>
      </c>
      <c r="L16" s="64">
        <f>J16*0.37</f>
        <v>17.612000000000002</v>
      </c>
      <c r="M16" s="64">
        <f>(J16*0.63)*0.93</f>
        <v>27.888840000000002</v>
      </c>
      <c r="N16" s="64"/>
      <c r="O16" s="64"/>
      <c r="P16" s="64"/>
      <c r="Q16" s="64"/>
      <c r="R16" s="64"/>
      <c r="S16" s="55"/>
      <c r="T16" s="55"/>
      <c r="U16" s="55" t="s">
        <v>11</v>
      </c>
      <c r="V16" s="63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 t="s">
        <v>43</v>
      </c>
      <c r="AS16" s="55"/>
      <c r="AT16" s="55"/>
      <c r="AU16" s="64"/>
      <c r="AV16" s="55"/>
      <c r="AW16" s="55"/>
      <c r="AX16" s="55"/>
      <c r="AY16" s="54"/>
      <c r="AZ16" s="1"/>
    </row>
    <row r="17" spans="1:52" hidden="1" x14ac:dyDescent="0.25">
      <c r="A17" s="10"/>
      <c r="B17" s="3"/>
      <c r="C17" s="3" t="s">
        <v>20</v>
      </c>
      <c r="D17" s="55">
        <v>1.6</v>
      </c>
      <c r="E17" s="55">
        <v>91</v>
      </c>
      <c r="F17" s="55">
        <v>29</v>
      </c>
      <c r="G17" s="55">
        <v>49.4</v>
      </c>
      <c r="H17" s="65">
        <v>28.95979046338423</v>
      </c>
      <c r="I17" s="55">
        <v>3.51</v>
      </c>
      <c r="J17" s="55">
        <v>41.5</v>
      </c>
      <c r="K17" s="55">
        <v>7.9</v>
      </c>
      <c r="L17" s="64">
        <f>J17*0.68</f>
        <v>28.220000000000002</v>
      </c>
      <c r="M17" s="64">
        <f>(J17*0.32)*0.74</f>
        <v>9.8272000000000013</v>
      </c>
      <c r="N17" s="64"/>
      <c r="O17" s="64"/>
      <c r="P17" s="64"/>
      <c r="Q17" s="64"/>
      <c r="R17" s="64"/>
      <c r="S17" s="55"/>
      <c r="T17" s="55"/>
      <c r="U17" s="64">
        <f>I22-1</f>
        <v>5.0684525903614457</v>
      </c>
      <c r="V17" s="63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>
        <v>4.8000000000000001E-2</v>
      </c>
      <c r="AS17" s="55"/>
      <c r="AT17" s="55"/>
      <c r="AU17" s="55"/>
      <c r="AV17" s="55"/>
      <c r="AW17" s="55"/>
      <c r="AX17" s="55"/>
      <c r="AY17" s="54"/>
      <c r="AZ17" s="1"/>
    </row>
    <row r="18" spans="1:52" hidden="1" x14ac:dyDescent="0.25">
      <c r="A18" s="10"/>
      <c r="B18" s="3"/>
      <c r="C18" s="3" t="s">
        <v>21</v>
      </c>
      <c r="D18" s="55">
        <v>1.9</v>
      </c>
      <c r="E18" s="55">
        <v>91</v>
      </c>
      <c r="F18" s="55">
        <v>11.1</v>
      </c>
      <c r="G18" s="55">
        <v>85.7</v>
      </c>
      <c r="H18" s="65">
        <v>28.95979046338423</v>
      </c>
      <c r="I18" s="55">
        <v>2.08</v>
      </c>
      <c r="J18" s="55">
        <v>52.6</v>
      </c>
      <c r="K18" s="55">
        <v>7.2</v>
      </c>
      <c r="L18" s="64">
        <f>J18*0.73</f>
        <v>38.398000000000003</v>
      </c>
      <c r="M18" s="64">
        <f>(J18*0.33)*0.91</f>
        <v>15.795780000000001</v>
      </c>
      <c r="N18" s="64"/>
      <c r="O18" s="64"/>
      <c r="P18" s="64"/>
      <c r="Q18" s="64"/>
      <c r="R18" s="64"/>
      <c r="S18" s="55"/>
      <c r="T18" s="55"/>
      <c r="U18" s="64"/>
      <c r="V18" s="63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4"/>
      <c r="AZ18" s="1"/>
    </row>
    <row r="19" spans="1:52" hidden="1" x14ac:dyDescent="0.25">
      <c r="A19" s="10"/>
      <c r="B19" s="3"/>
      <c r="C19" s="3" t="s">
        <v>22</v>
      </c>
      <c r="D19" s="55"/>
      <c r="E19" s="55"/>
      <c r="F19" s="55"/>
      <c r="G19" s="55"/>
      <c r="H19" s="55"/>
      <c r="I19" s="55">
        <v>89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 t="s">
        <v>12</v>
      </c>
      <c r="V19" s="63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 t="s">
        <v>44</v>
      </c>
      <c r="AS19" s="55"/>
      <c r="AT19" s="55"/>
      <c r="AU19" s="64"/>
      <c r="AV19" s="55"/>
      <c r="AW19" s="55"/>
      <c r="AX19" s="55"/>
      <c r="AY19" s="54"/>
      <c r="AZ19" s="1"/>
    </row>
    <row r="20" spans="1:52" hidden="1" x14ac:dyDescent="0.25">
      <c r="A20" s="3"/>
      <c r="B20" s="3"/>
      <c r="C20" s="3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64">
        <f>100-K22-D22-F22-U17-J22</f>
        <v>18.008702831325305</v>
      </c>
      <c r="V20" s="63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64">
        <v>0.74</v>
      </c>
      <c r="AS20" s="55"/>
      <c r="AT20" s="55"/>
      <c r="AU20" s="55"/>
      <c r="AV20" s="55"/>
      <c r="AW20" s="55"/>
      <c r="AX20" s="55"/>
      <c r="AY20" s="54"/>
      <c r="AZ20" s="1"/>
    </row>
    <row r="21" spans="1:52" hidden="1" x14ac:dyDescent="0.25">
      <c r="A21" s="3"/>
      <c r="B21" s="3"/>
      <c r="C21" s="3"/>
      <c r="D21" s="115" t="s">
        <v>64</v>
      </c>
      <c r="E21" s="115"/>
      <c r="F21" s="115"/>
      <c r="G21" s="115"/>
      <c r="H21" s="115"/>
      <c r="I21" s="115"/>
      <c r="J21" s="115"/>
      <c r="K21" s="115"/>
      <c r="L21" s="115"/>
      <c r="M21" s="115"/>
      <c r="N21" s="55"/>
      <c r="O21" s="55"/>
      <c r="P21" s="55"/>
      <c r="Q21" s="55"/>
      <c r="R21" s="55"/>
      <c r="S21" s="55"/>
      <c r="T21" s="55"/>
      <c r="U21" s="55"/>
      <c r="V21" s="63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4"/>
      <c r="AZ21" s="1"/>
    </row>
    <row r="22" spans="1:52" hidden="1" x14ac:dyDescent="0.25">
      <c r="A22" s="10"/>
      <c r="B22" s="3"/>
      <c r="C22" s="3" t="s">
        <v>23</v>
      </c>
      <c r="D22" s="64">
        <f t="shared" ref="D22:E22" si="0">(D11*$D$26)+(D12*$D$27)+(D13*$D$28)+(D14*$D$29)+(D15*$D$30)+(D16*$D$31)+(D17*$D$32)+(D18*$D$33)+(D19*$D$34)</f>
        <v>24.230807831325301</v>
      </c>
      <c r="E22" s="64">
        <f t="shared" si="0"/>
        <v>83.506499999999988</v>
      </c>
      <c r="F22" s="64">
        <f>(F11*$D$26)+(F12*$D$27)+(F13*$D$28)+(F14*$D$29)+(F15*$D$30)+(F16*$D$31)+(F17*$D$32)+(F18*$D$33)+(F19*$D$34)</f>
        <v>26.302827108433732</v>
      </c>
      <c r="G22" s="64">
        <f>(G11*$D$26)+(G12*$D$27)+(G13*$D$28)+(G14*$D$29)+(G15*$D$30)+(G16*$D$31)+(G17*$D$32)+(G18*$D$33)+(G19*$D$34)</f>
        <v>44.72756746987951</v>
      </c>
      <c r="H22" s="64">
        <f>AVERAGE(H11:H18)</f>
        <v>30.979820397186479</v>
      </c>
      <c r="I22" s="64">
        <f>(I11*$D$26)+(I12*$D$27)+(I13*$D$28)+(I14*$D$29)+(I15*$D$30)+(I16*$D$31)+(I17*$D$32)+(I18*$D$33)+(I19*$D$34)</f>
        <v>6.0684525903614457</v>
      </c>
      <c r="J22" s="64">
        <f>(J11*$D$26)+(J12*$D$27)+(J13*$D$28)+(J14*$D$29)+(J15*$D$30)+(J16*$D$31)+(J17*$D$32)+(J18*$D$33)+(J19*$D$34)</f>
        <v>20.796848192771083</v>
      </c>
      <c r="K22" s="64">
        <f>(K11*$D$26)+(K12*$D$27)+(K13*$D$28)+(K14*$D$29)+(K15*$D$30)+(K16*$D$31)+(K17*$D$32)+(K18*$D$33)+(K19*$D$34)</f>
        <v>5.5923614457831317</v>
      </c>
      <c r="L22" s="64">
        <f>(L11*$D$26)+(L12*$D$27)+(L13*$D$28)+(L14*$D$29)+(L15*$D$30)+(L16*$D$31)+(L17*$D$32)+(L18*$D$33)+(L19*$D$34)</f>
        <v>12.341358837349397</v>
      </c>
      <c r="M22" s="64">
        <f>(M11*$D$26)+(M12*$D$27)+(M13*$D$28)+(M14*$D$29)+(M15*$D$30)+(M16*$D$31)+(M17*$D$32)+(M18*$D$33)+(M19*$D$34)</f>
        <v>6.740797047168674</v>
      </c>
      <c r="N22" s="64"/>
      <c r="O22" s="64"/>
      <c r="P22" s="64"/>
      <c r="Q22" s="64"/>
      <c r="R22" s="64"/>
      <c r="S22" s="55"/>
      <c r="T22" s="55"/>
      <c r="U22" s="55"/>
      <c r="V22" s="63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4"/>
      <c r="AZ22" s="1"/>
    </row>
    <row r="23" spans="1:52" hidden="1" x14ac:dyDescent="0.25">
      <c r="A23" s="3"/>
      <c r="B23" s="3"/>
      <c r="C23" s="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63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4"/>
      <c r="AZ23" s="1"/>
    </row>
    <row r="24" spans="1:52" hidden="1" x14ac:dyDescent="0.25">
      <c r="A24" s="115" t="s">
        <v>65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55"/>
      <c r="M24" s="55"/>
      <c r="N24" s="55"/>
      <c r="O24" s="55"/>
      <c r="P24" s="55"/>
      <c r="Q24" s="55"/>
      <c r="R24" s="55"/>
      <c r="S24" s="55"/>
      <c r="T24" s="61"/>
      <c r="U24" s="61" t="s">
        <v>61</v>
      </c>
      <c r="V24" s="6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4"/>
      <c r="AZ24" s="1"/>
    </row>
    <row r="25" spans="1:52" hidden="1" x14ac:dyDescent="0.25">
      <c r="A25" s="10"/>
      <c r="B25" s="3"/>
      <c r="C25" s="3" t="s">
        <v>55</v>
      </c>
      <c r="D25" s="55"/>
      <c r="E25" s="55"/>
      <c r="F25" s="67" t="s">
        <v>54</v>
      </c>
      <c r="G25" s="55"/>
      <c r="H25" s="55"/>
      <c r="I25" s="55"/>
      <c r="J25" s="67" t="s">
        <v>62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 t="s">
        <v>29</v>
      </c>
      <c r="V25" s="63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4"/>
      <c r="AZ25" s="1"/>
    </row>
    <row r="26" spans="1:52" hidden="1" x14ac:dyDescent="0.25">
      <c r="A26" s="10"/>
      <c r="B26" s="3"/>
      <c r="C26" s="3" t="s">
        <v>14</v>
      </c>
      <c r="D26" s="64">
        <f t="shared" ref="D26:D34" si="1">F26*$K$28</f>
        <v>0.27874698795180719</v>
      </c>
      <c r="E26" s="55"/>
      <c r="F26" s="55">
        <v>0.192</v>
      </c>
      <c r="G26" s="55"/>
      <c r="H26" s="55"/>
      <c r="I26" s="55"/>
      <c r="J26" s="55" t="s">
        <v>24</v>
      </c>
      <c r="K26" s="55">
        <f>SUM(F26:F34)</f>
        <v>0.66400000000000003</v>
      </c>
      <c r="L26" s="55"/>
      <c r="M26" s="55"/>
      <c r="N26" s="55"/>
      <c r="O26" s="55"/>
      <c r="P26" s="55"/>
      <c r="Q26" s="55"/>
      <c r="R26" s="55"/>
      <c r="S26" s="55"/>
      <c r="T26" s="55"/>
      <c r="U26" s="64">
        <f>(0.042*F22*(S14/100))+(0.0423*D22*(U14/100))+(0.094*U17*0.73)+(0.0565*(L22+M22))+(0.04*U20*0.91)</f>
        <v>3.5243204185345078</v>
      </c>
      <c r="V26" s="63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4"/>
      <c r="AZ26" s="1"/>
    </row>
    <row r="27" spans="1:52" hidden="1" x14ac:dyDescent="0.25">
      <c r="A27" s="10"/>
      <c r="B27" s="3"/>
      <c r="C27" s="3" t="s">
        <v>15</v>
      </c>
      <c r="D27" s="64">
        <f t="shared" si="1"/>
        <v>0.11614457831325301</v>
      </c>
      <c r="E27" s="55"/>
      <c r="F27" s="55">
        <v>0.08</v>
      </c>
      <c r="G27" s="55"/>
      <c r="H27" s="55"/>
      <c r="I27" s="55"/>
      <c r="J27" s="55" t="s">
        <v>25</v>
      </c>
      <c r="K27" s="55">
        <f>K26+0.3</f>
        <v>0.96399999999999997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63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4"/>
      <c r="AZ27" s="1"/>
    </row>
    <row r="28" spans="1:52" hidden="1" x14ac:dyDescent="0.25">
      <c r="A28" s="10"/>
      <c r="B28" s="3"/>
      <c r="C28" s="3" t="s">
        <v>16</v>
      </c>
      <c r="D28" s="64">
        <f t="shared" si="1"/>
        <v>6.678313253012047E-2</v>
      </c>
      <c r="E28" s="55"/>
      <c r="F28" s="55">
        <v>4.5999999999999999E-2</v>
      </c>
      <c r="G28" s="55"/>
      <c r="H28" s="55"/>
      <c r="I28" s="55"/>
      <c r="J28" s="55"/>
      <c r="K28" s="64">
        <f>K27/K26</f>
        <v>1.4518072289156625</v>
      </c>
      <c r="L28" s="55"/>
      <c r="M28" s="55"/>
      <c r="N28" s="55"/>
      <c r="O28" s="55"/>
      <c r="P28" s="55"/>
      <c r="Q28" s="55"/>
      <c r="R28" s="55"/>
      <c r="S28" s="55"/>
      <c r="T28" s="55"/>
      <c r="U28" s="55" t="s">
        <v>26</v>
      </c>
      <c r="V28" s="63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4"/>
      <c r="AZ28" s="1"/>
    </row>
    <row r="29" spans="1:52" hidden="1" x14ac:dyDescent="0.25">
      <c r="A29" s="10"/>
      <c r="B29" s="3"/>
      <c r="C29" s="3" t="s">
        <v>17</v>
      </c>
      <c r="D29" s="64">
        <f t="shared" si="1"/>
        <v>0.20760843373493973</v>
      </c>
      <c r="E29" s="55"/>
      <c r="F29" s="55">
        <v>0.14299999999999999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>
        <v>70</v>
      </c>
      <c r="V29" s="63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4"/>
      <c r="AZ29" s="1"/>
    </row>
    <row r="30" spans="1:52" hidden="1" x14ac:dyDescent="0.25">
      <c r="A30" s="10"/>
      <c r="B30" s="3"/>
      <c r="C30" s="3" t="s">
        <v>18</v>
      </c>
      <c r="D30" s="64">
        <f t="shared" si="1"/>
        <v>6.097590361445783E-2</v>
      </c>
      <c r="E30" s="55"/>
      <c r="F30" s="55">
        <v>4.2000000000000003E-2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63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4"/>
      <c r="AZ30" s="1"/>
    </row>
    <row r="31" spans="1:52" hidden="1" x14ac:dyDescent="0.25">
      <c r="A31" s="10"/>
      <c r="B31" s="3"/>
      <c r="C31" s="3" t="s">
        <v>19</v>
      </c>
      <c r="D31" s="64">
        <f t="shared" si="1"/>
        <v>0.10307831325301203</v>
      </c>
      <c r="E31" s="55"/>
      <c r="F31" s="55">
        <v>7.0999999999999994E-2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 t="s">
        <v>28</v>
      </c>
      <c r="V31" s="63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4"/>
      <c r="AZ31" s="1"/>
    </row>
    <row r="32" spans="1:52" hidden="1" x14ac:dyDescent="0.25">
      <c r="A32" s="10"/>
      <c r="B32" s="3"/>
      <c r="C32" s="3" t="s">
        <v>20</v>
      </c>
      <c r="D32" s="64">
        <f t="shared" si="1"/>
        <v>9.4367469879518065E-2</v>
      </c>
      <c r="E32" s="55"/>
      <c r="F32" s="55">
        <v>6.5000000000000002E-2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64">
        <f>U26*(U29/100)</f>
        <v>2.4670242929741555</v>
      </c>
      <c r="V32" s="63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4"/>
      <c r="AZ32" s="1"/>
    </row>
    <row r="33" spans="1:53" hidden="1" x14ac:dyDescent="0.25">
      <c r="A33" s="10"/>
      <c r="B33" s="3"/>
      <c r="C33" s="3" t="s">
        <v>21</v>
      </c>
      <c r="D33" s="64">
        <f t="shared" si="1"/>
        <v>2.4680722891566264E-2</v>
      </c>
      <c r="E33" s="55"/>
      <c r="F33" s="55">
        <v>1.7000000000000001E-2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63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4"/>
      <c r="AZ33" s="1"/>
    </row>
    <row r="34" spans="1:53" hidden="1" x14ac:dyDescent="0.25">
      <c r="A34" s="10"/>
      <c r="B34" s="3"/>
      <c r="C34" s="3" t="s">
        <v>22</v>
      </c>
      <c r="D34" s="64">
        <f t="shared" si="1"/>
        <v>1.16144578313253E-2</v>
      </c>
      <c r="E34" s="55"/>
      <c r="F34" s="55">
        <v>8.0000000000000002E-3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63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4"/>
      <c r="AZ34" s="1"/>
    </row>
    <row r="35" spans="1:53" hidden="1" x14ac:dyDescent="0.25">
      <c r="A35" s="3"/>
      <c r="B35" s="3"/>
      <c r="C35" s="3"/>
      <c r="D35" s="55"/>
      <c r="E35" s="55"/>
      <c r="F35" s="55"/>
      <c r="G35" s="55"/>
      <c r="H35" s="55"/>
      <c r="I35" s="55"/>
      <c r="J35" s="55"/>
      <c r="K35" s="55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3"/>
      <c r="W35" s="112" t="s">
        <v>49</v>
      </c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6"/>
      <c r="AR35" s="116"/>
      <c r="AS35" s="116"/>
      <c r="AT35" s="55"/>
      <c r="AU35" s="55"/>
      <c r="AV35" s="55"/>
      <c r="AW35" s="55"/>
      <c r="AX35" s="55"/>
      <c r="AY35" s="54"/>
      <c r="AZ35" s="1"/>
      <c r="BA35" s="55"/>
    </row>
    <row r="36" spans="1:53" ht="28.9" customHeight="1" x14ac:dyDescent="0.25">
      <c r="A36" s="108"/>
      <c r="B36" s="108"/>
      <c r="C36" s="68" t="s">
        <v>113</v>
      </c>
      <c r="D36" s="28" t="s">
        <v>114</v>
      </c>
      <c r="E36" s="28" t="s">
        <v>114</v>
      </c>
      <c r="F36" s="28" t="s">
        <v>114</v>
      </c>
      <c r="G36" s="28" t="s">
        <v>114</v>
      </c>
      <c r="H36" s="69" t="s">
        <v>307</v>
      </c>
      <c r="I36" s="69" t="s">
        <v>307</v>
      </c>
      <c r="J36" s="69" t="s">
        <v>307</v>
      </c>
      <c r="K36" s="69" t="s">
        <v>307</v>
      </c>
      <c r="L36" s="110" t="s">
        <v>56</v>
      </c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46" t="s">
        <v>34</v>
      </c>
      <c r="X36" s="46" t="s">
        <v>35</v>
      </c>
      <c r="Y36" s="46" t="s">
        <v>36</v>
      </c>
      <c r="AA36" s="46" t="s">
        <v>45</v>
      </c>
      <c r="AB36" s="46" t="s">
        <v>45</v>
      </c>
      <c r="AC36" s="46" t="s">
        <v>74</v>
      </c>
      <c r="AD36" s="46" t="s">
        <v>80</v>
      </c>
      <c r="AE36" s="46" t="s">
        <v>45</v>
      </c>
      <c r="AF36" s="46" t="s">
        <v>77</v>
      </c>
      <c r="AG36" s="46" t="s">
        <v>85</v>
      </c>
      <c r="AH36" s="46" t="s">
        <v>33</v>
      </c>
      <c r="AI36" s="46" t="s">
        <v>82</v>
      </c>
      <c r="AJ36" s="46" t="s">
        <v>58</v>
      </c>
      <c r="AK36" s="46" t="s">
        <v>32</v>
      </c>
      <c r="AL36" s="46" t="s">
        <v>45</v>
      </c>
      <c r="AM36" s="46" t="s">
        <v>45</v>
      </c>
      <c r="AN36" s="46" t="s">
        <v>289</v>
      </c>
      <c r="AO36" s="46" t="s">
        <v>66</v>
      </c>
      <c r="AP36" s="29" t="s">
        <v>107</v>
      </c>
      <c r="AR36" s="29" t="s">
        <v>46</v>
      </c>
      <c r="AS36" s="29" t="s">
        <v>46</v>
      </c>
      <c r="AT36" s="29" t="s">
        <v>71</v>
      </c>
      <c r="AU36" s="29" t="s">
        <v>71</v>
      </c>
      <c r="AV36" s="29" t="s">
        <v>73</v>
      </c>
      <c r="AW36" s="29" t="s">
        <v>107</v>
      </c>
      <c r="AX36" s="29" t="s">
        <v>107</v>
      </c>
      <c r="AY36" s="30"/>
      <c r="AZ36" s="1"/>
      <c r="BA36" s="55"/>
    </row>
    <row r="37" spans="1:53" ht="54.6" customHeight="1" x14ac:dyDescent="0.25">
      <c r="A37" s="36" t="s">
        <v>52</v>
      </c>
      <c r="B37" s="36" t="s">
        <v>115</v>
      </c>
      <c r="C37" s="37" t="s">
        <v>192</v>
      </c>
      <c r="D37" s="37" t="s">
        <v>131</v>
      </c>
      <c r="E37" s="37" t="s">
        <v>109</v>
      </c>
      <c r="F37" s="37" t="s">
        <v>132</v>
      </c>
      <c r="G37" s="37" t="s">
        <v>133</v>
      </c>
      <c r="H37" s="70" t="s">
        <v>134</v>
      </c>
      <c r="I37" s="71" t="s">
        <v>135</v>
      </c>
      <c r="J37" s="70" t="s">
        <v>286</v>
      </c>
      <c r="K37" s="70" t="s">
        <v>125</v>
      </c>
      <c r="L37" s="36" t="s">
        <v>7</v>
      </c>
      <c r="M37" s="36" t="s">
        <v>8</v>
      </c>
      <c r="N37" s="36" t="s">
        <v>90</v>
      </c>
      <c r="O37" s="70" t="s">
        <v>296</v>
      </c>
      <c r="P37" s="36" t="s">
        <v>87</v>
      </c>
      <c r="Q37" s="36" t="s">
        <v>88</v>
      </c>
      <c r="R37" s="70" t="s">
        <v>291</v>
      </c>
      <c r="S37" s="36" t="s">
        <v>9</v>
      </c>
      <c r="T37" s="36" t="s">
        <v>10</v>
      </c>
      <c r="U37" s="36" t="s">
        <v>11</v>
      </c>
      <c r="V37" s="36" t="s">
        <v>12</v>
      </c>
      <c r="W37" s="36" t="s">
        <v>79</v>
      </c>
      <c r="X37" s="36" t="s">
        <v>76</v>
      </c>
      <c r="Y37" s="36" t="s">
        <v>76</v>
      </c>
      <c r="Z37" s="36" t="s">
        <v>91</v>
      </c>
      <c r="AA37" s="36" t="s">
        <v>92</v>
      </c>
      <c r="AB37" s="36" t="s">
        <v>93</v>
      </c>
      <c r="AC37" s="36" t="s">
        <v>75</v>
      </c>
      <c r="AD37" s="36" t="s">
        <v>81</v>
      </c>
      <c r="AE37" s="36" t="s">
        <v>31</v>
      </c>
      <c r="AF37" s="36" t="s">
        <v>76</v>
      </c>
      <c r="AG37" s="36" t="s">
        <v>76</v>
      </c>
      <c r="AH37" s="36" t="s">
        <v>78</v>
      </c>
      <c r="AI37" s="36" t="s">
        <v>83</v>
      </c>
      <c r="AJ37" s="36"/>
      <c r="AK37" s="36"/>
      <c r="AL37" s="36" t="s">
        <v>38</v>
      </c>
      <c r="AM37" s="36" t="s">
        <v>39</v>
      </c>
      <c r="AN37" s="36" t="s">
        <v>68</v>
      </c>
      <c r="AO37" s="36" t="s">
        <v>40</v>
      </c>
      <c r="AP37" s="42" t="s">
        <v>292</v>
      </c>
      <c r="AQ37" s="42" t="s">
        <v>190</v>
      </c>
      <c r="AR37" s="72" t="s">
        <v>47</v>
      </c>
      <c r="AS37" s="72" t="s">
        <v>48</v>
      </c>
      <c r="AT37" s="72" t="s">
        <v>76</v>
      </c>
      <c r="AU37" s="72" t="s">
        <v>72</v>
      </c>
      <c r="AV37" s="72" t="s">
        <v>76</v>
      </c>
      <c r="AW37" s="42" t="s">
        <v>191</v>
      </c>
      <c r="AX37" s="42" t="s">
        <v>304</v>
      </c>
      <c r="AY37" s="73"/>
      <c r="AZ37" s="73"/>
      <c r="BA37" s="74"/>
    </row>
    <row r="38" spans="1:53" x14ac:dyDescent="0.25">
      <c r="A38" s="47" t="s">
        <v>193</v>
      </c>
      <c r="B38" s="47"/>
      <c r="C38" s="48">
        <v>10</v>
      </c>
      <c r="D38" s="48">
        <v>37.1</v>
      </c>
      <c r="E38" s="48">
        <v>76.8</v>
      </c>
      <c r="F38" s="48">
        <v>3.5</v>
      </c>
      <c r="G38" s="48">
        <v>7.4</v>
      </c>
      <c r="H38" s="80">
        <f>'Fiber_Ash Inputs'!V11</f>
        <v>35.6</v>
      </c>
      <c r="I38" s="80">
        <f>'Fiber_Ash Inputs'!W11</f>
        <v>64.2</v>
      </c>
      <c r="J38" s="80">
        <f>'Fiber_Ash Inputs'!X11</f>
        <v>7.9</v>
      </c>
      <c r="K38" s="80">
        <f>'Fiber_Ash Inputs'!U11</f>
        <v>3.8</v>
      </c>
      <c r="L38" s="76">
        <f>100*((LN(100-E38)-4.6052)/-6)</f>
        <v>24.35079535546226</v>
      </c>
      <c r="M38" s="76">
        <f>82.224+(0.185*(100*(L38/(L38+12))))</f>
        <v>94.616843393682686</v>
      </c>
      <c r="N38" s="76">
        <f t="shared" ref="N38:N101" si="2">(J38/(H38/100))</f>
        <v>22.191011235955056</v>
      </c>
      <c r="O38" s="76">
        <f>IF(I38+N38&lt;100,N38,IF(I38+N38=100,99.9-I38,IF(I38+N38&gt;100,99.9-I38)))</f>
        <v>22.191011235955056</v>
      </c>
      <c r="P38" s="76">
        <f>(100*((LN((100-O38)-I38)-4.6052)/-'Fiber_Ash Inputs'!$D$17))*'Fiber_Ash Inputs'!$C$17</f>
        <v>7.3869240261072449</v>
      </c>
      <c r="Q38" s="76">
        <f>(100-O38)*(1.1*(P38/(P38+3.36)))</f>
        <v>58.830414718402729</v>
      </c>
      <c r="R38" s="76">
        <f>IF('Fiber_Ash Inputs'!$B$11=30,I38,IF('Fiber_Ash Inputs'!$B$11=48,I38*0.926))</f>
        <v>64.2</v>
      </c>
      <c r="S38" s="76">
        <f t="shared" ref="S38:S101" si="3">G38*0.77</f>
        <v>5.6980000000000004</v>
      </c>
      <c r="T38" s="76">
        <f t="shared" ref="T38:T101" si="4">(G38*0.33)*0.7</f>
        <v>1.7094</v>
      </c>
      <c r="U38" s="46">
        <f t="shared" ref="U38:U101" si="5">F38-1</f>
        <v>2.5</v>
      </c>
      <c r="V38" s="77">
        <f t="shared" ref="V38:V101" si="6">100-K38-D38-H38-U38-G38</f>
        <v>13.6</v>
      </c>
      <c r="W38" s="76">
        <f>((G38*0.3+$J$22*0.7)/100)*AT38</f>
        <v>4.5856445751997779</v>
      </c>
      <c r="X38" s="76">
        <f>((S38*0.3+$L$22*0.7)/100)*AT38</f>
        <v>2.8283731001045389</v>
      </c>
      <c r="Y38" s="76">
        <f>((T38*0.3+$M$22*0.7)/100)*AT38</f>
        <v>1.4298208821942155</v>
      </c>
      <c r="Z38" s="76">
        <f t="shared" ref="Z38:Z101" si="7">(0.042*H38*(Q38/100))+(0.0423*D38*(M38/100))+(0.094*U38*0.73)+(0.0565*(S38+T38))+(0.04*V38*0.91)</f>
        <v>3.4495909692996376</v>
      </c>
      <c r="AA38" s="76">
        <f t="shared" ref="AA38:AA101" si="8">Z38*($AA$10/100)</f>
        <v>1.0348772907898913</v>
      </c>
      <c r="AB38" s="76">
        <f>AA38+$U$32</f>
        <v>3.501901583764047</v>
      </c>
      <c r="AC38" s="76">
        <f>($AC$10*0.2)/(AT38)</f>
        <v>2.1952587200950457</v>
      </c>
      <c r="AD38" s="76">
        <f>11.62+0.134*(H38*0.3+$F$22*0.7)</f>
        <v>15.518325182771083</v>
      </c>
      <c r="AE38" s="76">
        <f>AB38-0.00565*AD38-0.00565*AC38-0.004*34.3</f>
        <v>3.2646198347128537</v>
      </c>
      <c r="AF38" s="46">
        <f>(AC38*AT38)/1000</f>
        <v>6.0000000000000005E-2</v>
      </c>
      <c r="AG38" s="76">
        <f>(AD38*AT38)/1000</f>
        <v>0.42414112853447733</v>
      </c>
      <c r="AH38" s="76">
        <f>((X38+Y38)-(AG38+AF38))/W38</f>
        <v>0.82301469114619663</v>
      </c>
      <c r="AI38" s="50">
        <f t="shared" ref="AI38:AI101" si="9">(((W38*AH38)-$AI$10)*1000)/6.25</f>
        <v>339.84845660228433</v>
      </c>
      <c r="AJ38" s="76">
        <f>(0.0146*AI38)/AT38</f>
        <v>0.18154012004763848</v>
      </c>
      <c r="AK38" s="76">
        <f>(0.294*AT38-0.347*(U38*0.3+$U$17*0.7)+0.0409*(H38*0.3+$F$22*0.7))/AT38</f>
        <v>0.28296826901575345</v>
      </c>
      <c r="AL38" s="76">
        <f>AE38-AK38-AJ38</f>
        <v>2.8001114456494616</v>
      </c>
      <c r="AM38" s="76">
        <f>0.66*AL38</f>
        <v>1.8480735541286448</v>
      </c>
      <c r="AN38" s="76">
        <f t="shared" ref="AN38:AN69" si="10">((AM38*AT38)-$AN$11-$AN$14)</f>
        <v>33.380863358701461</v>
      </c>
      <c r="AO38" s="76">
        <f>AA38/AB38</f>
        <v>0.29551866779692454</v>
      </c>
      <c r="AP38" s="78">
        <f t="shared" ref="AP38:AP101" si="11">AN38*AO38</f>
        <v>9.8646682696746275</v>
      </c>
      <c r="AQ38" s="78">
        <f>((AN38/AT38*AO38))</f>
        <v>0.36092498399746886</v>
      </c>
      <c r="AR38" s="78">
        <f>(AP38)/$AR$20</f>
        <v>13.330632796857605</v>
      </c>
      <c r="AS38" s="78">
        <f>AR38*2.2</f>
        <v>29.327392153086734</v>
      </c>
      <c r="AT38" s="78">
        <f>12-0.107*($F$22*0.7+H38*0.3)+8.17*($AU$10/($F$22*0.7+H38*0.3))+0.0253*($G$22*0.7+R38*0.3)-0.328*(($AU$10/($F$22*0.7+H38*0.3))-0.602)*(($G$22*0.7+R38*0.3)-48.3)+0.225*$AU$13+0.0039*(($G$22*0.7+R38*0.3)-48.3)*($AU$13-33.1)</f>
        <v>27.331630413659056</v>
      </c>
      <c r="AU38" s="78">
        <f>AT38*2.2</f>
        <v>60.12958691004993</v>
      </c>
      <c r="AV38" s="78">
        <f t="shared" ref="AV38:AV69" si="12">AT38*0.3</f>
        <v>8.1994891240977168</v>
      </c>
      <c r="AW38" s="79">
        <f t="shared" ref="AW38:AW69" si="13">(AR38/AV38)*1000</f>
        <v>1625.7882162048147</v>
      </c>
      <c r="AX38" s="79">
        <f t="shared" ref="AX38:AX69" si="14">C38*AW38</f>
        <v>16257.882162048147</v>
      </c>
      <c r="AY38" s="1"/>
      <c r="AZ38" s="1"/>
      <c r="BA38" s="55"/>
    </row>
    <row r="39" spans="1:53" x14ac:dyDescent="0.25">
      <c r="A39" s="47" t="s">
        <v>194</v>
      </c>
      <c r="B39" s="47"/>
      <c r="C39" s="48">
        <v>10</v>
      </c>
      <c r="D39" s="48">
        <v>37.1</v>
      </c>
      <c r="E39" s="48">
        <v>76.8</v>
      </c>
      <c r="F39" s="48">
        <v>3.5</v>
      </c>
      <c r="G39" s="48">
        <v>7.4</v>
      </c>
      <c r="H39" s="80">
        <f>'Fiber_Ash Inputs'!V12</f>
        <v>37</v>
      </c>
      <c r="I39" s="80">
        <f>'Fiber_Ash Inputs'!W12</f>
        <v>64.2</v>
      </c>
      <c r="J39" s="80">
        <f>'Fiber_Ash Inputs'!X12</f>
        <v>7.9</v>
      </c>
      <c r="K39" s="80">
        <f>'Fiber_Ash Inputs'!U12</f>
        <v>3.8</v>
      </c>
      <c r="L39" s="76">
        <f t="shared" ref="L39:L102" si="15">100*((LN(100-E39)-4.6052)/-6)</f>
        <v>24.35079535546226</v>
      </c>
      <c r="M39" s="76">
        <f t="shared" ref="M39:M102" si="16">82.224+(0.185*(100*(L39/(L39+12))))</f>
        <v>94.616843393682686</v>
      </c>
      <c r="N39" s="76">
        <f t="shared" si="2"/>
        <v>21.351351351351351</v>
      </c>
      <c r="O39" s="76">
        <f t="shared" ref="O39:O102" si="17">IF(I39+N39&lt;100,N39,IF(I39+N39=100,99.9-I39,IF(I39+N39&gt;100,99.9-I39)))</f>
        <v>21.351351351351351</v>
      </c>
      <c r="P39" s="76">
        <f>(100*((LN((100-O39)-I39)-4.6052)/-'Fiber_Ash Inputs'!$D$17))*'Fiber_Ash Inputs'!$C$17</f>
        <v>7.1651818849607638</v>
      </c>
      <c r="Q39" s="76">
        <f t="shared" ref="Q39:Q102" si="18">(100-O39)*(1.1*(P39/(P39+3.36)))</f>
        <v>58.895424953850679</v>
      </c>
      <c r="R39" s="76">
        <f>IF('Fiber_Ash Inputs'!$B$11=30,I39,IF('Fiber_Ash Inputs'!$B$11=48,I39*0.926))</f>
        <v>64.2</v>
      </c>
      <c r="S39" s="76">
        <f t="shared" si="3"/>
        <v>5.6980000000000004</v>
      </c>
      <c r="T39" s="76">
        <f t="shared" si="4"/>
        <v>1.7094</v>
      </c>
      <c r="U39" s="46">
        <f t="shared" si="5"/>
        <v>2.5</v>
      </c>
      <c r="V39" s="77">
        <f t="shared" si="6"/>
        <v>12.200000000000001</v>
      </c>
      <c r="W39" s="76">
        <f t="shared" ref="W39:W102" si="19">((G39*0.3+$J$22*0.7)/100)*AT39</f>
        <v>4.5665248144131567</v>
      </c>
      <c r="X39" s="76">
        <f t="shared" ref="X39:X102" si="20">((S39*0.3+$L$22*0.7)/100)*AT39</f>
        <v>2.8165802504402242</v>
      </c>
      <c r="Y39" s="76">
        <f t="shared" ref="Y39:Y102" si="21">((T39*0.3+$M$22*0.7)/100)*AT39</f>
        <v>1.4238592703015018</v>
      </c>
      <c r="Z39" s="76">
        <f t="shared" si="7"/>
        <v>3.4342335122129199</v>
      </c>
      <c r="AA39" s="76">
        <f t="shared" si="8"/>
        <v>1.030270053663876</v>
      </c>
      <c r="AB39" s="76">
        <f t="shared" ref="AB39:AB102" si="22">AA39+$U$32</f>
        <v>3.4972943466380313</v>
      </c>
      <c r="AC39" s="76">
        <f t="shared" ref="AC39:AC102" si="23">($AC$10*0.2)/(AT39)</f>
        <v>2.2044501344196723</v>
      </c>
      <c r="AD39" s="76">
        <f t="shared" ref="AD39:AD102" si="24">11.62+0.134*(H39*0.3+$F$22*0.7)</f>
        <v>15.574605182771084</v>
      </c>
      <c r="AE39" s="76">
        <f t="shared" ref="AE39:AE102" si="25">AB39-0.00565*AD39-0.00565*AC39-0.004*34.3</f>
        <v>3.2596426840959039</v>
      </c>
      <c r="AF39" s="46">
        <f t="shared" ref="AF39:AF102" si="26">(AC39*AT39)/1000</f>
        <v>0.06</v>
      </c>
      <c r="AG39" s="76">
        <f t="shared" ref="AG39:AG102" si="27">(AD39*AT39)/1000</f>
        <v>0.42390449045574286</v>
      </c>
      <c r="AH39" s="76">
        <f>((X39+Y39)-(AG39+AF39))/W39</f>
        <v>0.82262446454454097</v>
      </c>
      <c r="AI39" s="50">
        <f t="shared" si="9"/>
        <v>337.04560484575717</v>
      </c>
      <c r="AJ39" s="76">
        <f t="shared" ref="AJ39:AJ102" si="28">(0.0146*AI39)/AT39</f>
        <v>0.18079672236756203</v>
      </c>
      <c r="AK39" s="76">
        <f t="shared" ref="AK39:AK102" si="29">(0.294*AT39-0.347*(U39*0.3+$U$17*0.7)+0.0409*(H39*0.3+$F$22*0.7))/AT39</f>
        <v>0.28355321390467109</v>
      </c>
      <c r="AL39" s="76">
        <f t="shared" ref="AL39:AL102" si="30">AE39-AK39-AJ39</f>
        <v>2.7952927478236704</v>
      </c>
      <c r="AM39" s="76">
        <f t="shared" ref="AM39:AM102" si="31">0.66*AL39</f>
        <v>1.8448932135636227</v>
      </c>
      <c r="AN39" s="76">
        <f t="shared" si="10"/>
        <v>33.083697776818966</v>
      </c>
      <c r="AO39" s="76">
        <f t="shared" ref="AO39:AO102" si="32">AA39/AB39</f>
        <v>0.29459060392050801</v>
      </c>
      <c r="AP39" s="78">
        <f t="shared" si="11"/>
        <v>9.7461465079966665</v>
      </c>
      <c r="AQ39" s="78">
        <f t="shared" ref="AQ39:AQ102" si="33">((AN39/AT39*AO39))</f>
        <v>0.35808156632711785</v>
      </c>
      <c r="AR39" s="78">
        <f t="shared" ref="AR39:AR102" si="34">(AP39)/$AR$20</f>
        <v>13.170468254049549</v>
      </c>
      <c r="AS39" s="78">
        <f t="shared" ref="AS39:AS102" si="35">AR39*2.2</f>
        <v>28.975030158909011</v>
      </c>
      <c r="AT39" s="78">
        <f t="shared" ref="AT39:AT69" si="36">12-0.107*($F$22*0.7+H39*0.3)+8.17*($AU$10/($F$22*0.7+H39*0.3))+0.0253*($G$22*0.7+R39*0.3)-0.328*(($AU$10/($F$22*0.7+H39*0.3))-0.602)*(($G$22*0.7+R39*0.3)-48.3)+0.225*$AU$13+0.0039*(($G$22*0.7+R39*0.3)-48.3)*($AU$13-33.1)</f>
        <v>27.217671682918411</v>
      </c>
      <c r="AU39" s="78">
        <f t="shared" ref="AU39:AU102" si="37">AT39*2.2</f>
        <v>59.87887770242051</v>
      </c>
      <c r="AV39" s="78">
        <f t="shared" si="12"/>
        <v>8.1653015048755222</v>
      </c>
      <c r="AW39" s="79">
        <f t="shared" si="13"/>
        <v>1612.980028500531</v>
      </c>
      <c r="AX39" s="79">
        <f t="shared" si="14"/>
        <v>16129.800285005311</v>
      </c>
      <c r="AY39" s="1"/>
      <c r="AZ39" s="1"/>
      <c r="BA39" s="55"/>
    </row>
    <row r="40" spans="1:53" x14ac:dyDescent="0.25">
      <c r="A40" s="47" t="s">
        <v>195</v>
      </c>
      <c r="B40" s="47"/>
      <c r="C40" s="48">
        <v>10</v>
      </c>
      <c r="D40" s="48">
        <v>37.1</v>
      </c>
      <c r="E40" s="48">
        <v>76.8</v>
      </c>
      <c r="F40" s="48">
        <v>3.5</v>
      </c>
      <c r="G40" s="48">
        <v>7.4</v>
      </c>
      <c r="H40" s="80">
        <f>'Fiber_Ash Inputs'!V13</f>
        <v>39</v>
      </c>
      <c r="I40" s="80">
        <f>'Fiber_Ash Inputs'!W13</f>
        <v>64.2</v>
      </c>
      <c r="J40" s="80">
        <f>'Fiber_Ash Inputs'!X13</f>
        <v>7.9</v>
      </c>
      <c r="K40" s="80">
        <f>'Fiber_Ash Inputs'!U13</f>
        <v>3.8</v>
      </c>
      <c r="L40" s="76">
        <f t="shared" si="15"/>
        <v>24.35079535546226</v>
      </c>
      <c r="M40" s="76">
        <f t="shared" si="16"/>
        <v>94.616843393682686</v>
      </c>
      <c r="N40" s="76">
        <f t="shared" si="2"/>
        <v>20.256410256410255</v>
      </c>
      <c r="O40" s="76">
        <f t="shared" si="17"/>
        <v>20.256410256410255</v>
      </c>
      <c r="P40" s="76">
        <f>(100*((LN((100-O40)-I40)-4.6052)/-'Fiber_Ash Inputs'!$D$17))*'Fiber_Ash Inputs'!$C$17</f>
        <v>6.8946358574294191</v>
      </c>
      <c r="Q40" s="76">
        <f t="shared" si="18"/>
        <v>58.976576348419293</v>
      </c>
      <c r="R40" s="76">
        <f>IF('Fiber_Ash Inputs'!$B$11=30,I40,IF('Fiber_Ash Inputs'!$B$11=48,I40*0.926))</f>
        <v>64.2</v>
      </c>
      <c r="S40" s="76">
        <f t="shared" si="3"/>
        <v>5.6980000000000004</v>
      </c>
      <c r="T40" s="76">
        <f t="shared" si="4"/>
        <v>1.7094</v>
      </c>
      <c r="U40" s="46">
        <f t="shared" si="5"/>
        <v>2.5</v>
      </c>
      <c r="V40" s="77">
        <f t="shared" si="6"/>
        <v>10.200000000000001</v>
      </c>
      <c r="W40" s="76">
        <f t="shared" si="19"/>
        <v>4.5397712272399255</v>
      </c>
      <c r="X40" s="76">
        <f t="shared" si="20"/>
        <v>2.8000789440151022</v>
      </c>
      <c r="Y40" s="76">
        <f t="shared" si="21"/>
        <v>1.4155174032015592</v>
      </c>
      <c r="Z40" s="76">
        <f t="shared" si="7"/>
        <v>3.4122349290171883</v>
      </c>
      <c r="AA40" s="76">
        <f t="shared" si="8"/>
        <v>1.0236704787051565</v>
      </c>
      <c r="AB40" s="76">
        <f t="shared" si="22"/>
        <v>3.490694771679312</v>
      </c>
      <c r="AC40" s="76">
        <f t="shared" si="23"/>
        <v>2.2174413064167018</v>
      </c>
      <c r="AD40" s="76">
        <f t="shared" si="24"/>
        <v>15.655005182771085</v>
      </c>
      <c r="AE40" s="76">
        <f t="shared" si="25"/>
        <v>3.2525154490154011</v>
      </c>
      <c r="AF40" s="46">
        <f t="shared" si="26"/>
        <v>0.06</v>
      </c>
      <c r="AG40" s="76">
        <f t="shared" si="27"/>
        <v>0.42359647051228499</v>
      </c>
      <c r="AH40" s="76">
        <f t="shared" ref="AH40:AH102" si="38">((X40+Y40)-(AG40+AF40))/W40</f>
        <v>0.82206782894946551</v>
      </c>
      <c r="AI40" s="50">
        <f t="shared" si="9"/>
        <v>333.11998027270022</v>
      </c>
      <c r="AJ40" s="76">
        <f t="shared" si="28"/>
        <v>0.17974400770068788</v>
      </c>
      <c r="AK40" s="76">
        <f t="shared" si="29"/>
        <v>0.28439858284243719</v>
      </c>
      <c r="AL40" s="76">
        <f t="shared" si="30"/>
        <v>2.7883728584722758</v>
      </c>
      <c r="AM40" s="76">
        <f t="shared" si="31"/>
        <v>1.8403260865917022</v>
      </c>
      <c r="AN40" s="76">
        <f t="shared" si="10"/>
        <v>32.665935917661706</v>
      </c>
      <c r="AO40" s="76">
        <f t="shared" si="32"/>
        <v>0.29325694329117369</v>
      </c>
      <c r="AP40" s="78">
        <f t="shared" si="11"/>
        <v>9.5795125169588324</v>
      </c>
      <c r="AQ40" s="78">
        <f t="shared" si="33"/>
        <v>0.35403344584067231</v>
      </c>
      <c r="AR40" s="78">
        <f t="shared" si="34"/>
        <v>12.945287185079504</v>
      </c>
      <c r="AS40" s="78">
        <f t="shared" si="35"/>
        <v>28.479631807174911</v>
      </c>
      <c r="AT40" s="78">
        <f t="shared" si="36"/>
        <v>27.058213367982059</v>
      </c>
      <c r="AU40" s="78">
        <f t="shared" si="37"/>
        <v>59.528069409560537</v>
      </c>
      <c r="AV40" s="78">
        <f t="shared" si="12"/>
        <v>8.1174640103946167</v>
      </c>
      <c r="AW40" s="79">
        <f t="shared" si="13"/>
        <v>1594.7452515345603</v>
      </c>
      <c r="AX40" s="79">
        <f t="shared" si="14"/>
        <v>15947.452515345603</v>
      </c>
      <c r="AY40" s="30"/>
      <c r="AZ40" s="1"/>
      <c r="BA40" s="55"/>
    </row>
    <row r="41" spans="1:53" x14ac:dyDescent="0.25">
      <c r="A41" s="47" t="s">
        <v>196</v>
      </c>
      <c r="B41" s="47"/>
      <c r="C41" s="48">
        <v>10</v>
      </c>
      <c r="D41" s="48">
        <v>37.1</v>
      </c>
      <c r="E41" s="48">
        <v>76.8</v>
      </c>
      <c r="F41" s="48">
        <v>3.5</v>
      </c>
      <c r="G41" s="48">
        <v>7.4</v>
      </c>
      <c r="H41" s="80">
        <f>'Fiber_Ash Inputs'!V14</f>
        <v>35</v>
      </c>
      <c r="I41" s="80">
        <f>'Fiber_Ash Inputs'!W14</f>
        <v>64.2</v>
      </c>
      <c r="J41" s="80">
        <f>'Fiber_Ash Inputs'!X14</f>
        <v>7.9</v>
      </c>
      <c r="K41" s="80">
        <f>'Fiber_Ash Inputs'!U14</f>
        <v>3.8</v>
      </c>
      <c r="L41" s="76">
        <f t="shared" si="15"/>
        <v>24.35079535546226</v>
      </c>
      <c r="M41" s="76">
        <f t="shared" si="16"/>
        <v>94.616843393682686</v>
      </c>
      <c r="N41" s="76">
        <f t="shared" si="2"/>
        <v>22.571428571428573</v>
      </c>
      <c r="O41" s="76">
        <f t="shared" si="17"/>
        <v>22.571428571428573</v>
      </c>
      <c r="P41" s="76">
        <f>(100*((LN((100-O41)-I41)-4.6052)/-'Fiber_Ash Inputs'!$D$17))*'Fiber_Ash Inputs'!$C$17</f>
        <v>7.4919296570488143</v>
      </c>
      <c r="Q41" s="76">
        <f t="shared" si="18"/>
        <v>58.800450409575511</v>
      </c>
      <c r="R41" s="76">
        <f>IF('Fiber_Ash Inputs'!$B$11=30,I41,IF('Fiber_Ash Inputs'!$B$11=48,I41*0.926))</f>
        <v>64.2</v>
      </c>
      <c r="S41" s="76">
        <f t="shared" si="3"/>
        <v>5.6980000000000004</v>
      </c>
      <c r="T41" s="76">
        <f t="shared" si="4"/>
        <v>1.7094</v>
      </c>
      <c r="U41" s="46">
        <f t="shared" si="5"/>
        <v>2.5</v>
      </c>
      <c r="V41" s="77">
        <f t="shared" si="6"/>
        <v>14.200000000000001</v>
      </c>
      <c r="W41" s="76">
        <f t="shared" si="19"/>
        <v>4.5939417492019379</v>
      </c>
      <c r="X41" s="76">
        <f t="shared" si="20"/>
        <v>2.8334907020838802</v>
      </c>
      <c r="Y41" s="76">
        <f t="shared" si="21"/>
        <v>1.4324079716332112</v>
      </c>
      <c r="Z41" s="76">
        <f t="shared" si="7"/>
        <v>3.4561652294508405</v>
      </c>
      <c r="AA41" s="76">
        <f t="shared" si="8"/>
        <v>1.0368495688352521</v>
      </c>
      <c r="AB41" s="76">
        <f t="shared" si="22"/>
        <v>3.5038738618094074</v>
      </c>
      <c r="AC41" s="76">
        <f t="shared" si="23"/>
        <v>2.1912938366518557</v>
      </c>
      <c r="AD41" s="76">
        <f t="shared" si="24"/>
        <v>15.494205182771083</v>
      </c>
      <c r="AE41" s="76">
        <f t="shared" si="25"/>
        <v>3.2667507923496677</v>
      </c>
      <c r="AF41" s="46">
        <f t="shared" si="26"/>
        <v>5.9999999999999991E-2</v>
      </c>
      <c r="AG41" s="76">
        <f t="shared" si="27"/>
        <v>0.4242481293091705</v>
      </c>
      <c r="AH41" s="76">
        <f t="shared" si="38"/>
        <v>0.82318208433201634</v>
      </c>
      <c r="AI41" s="50">
        <f t="shared" si="9"/>
        <v>341.06408710526733</v>
      </c>
      <c r="AJ41" s="76">
        <f t="shared" si="28"/>
        <v>0.18186043044775224</v>
      </c>
      <c r="AK41" s="76">
        <f t="shared" si="29"/>
        <v>0.28271932180534454</v>
      </c>
      <c r="AL41" s="76">
        <f t="shared" si="30"/>
        <v>2.8021710400965709</v>
      </c>
      <c r="AM41" s="76">
        <f t="shared" si="31"/>
        <v>1.8494328864637368</v>
      </c>
      <c r="AN41" s="76">
        <f t="shared" si="10"/>
        <v>33.509476701751915</v>
      </c>
      <c r="AO41" s="76">
        <f t="shared" si="32"/>
        <v>0.29591520977294</v>
      </c>
      <c r="AP41" s="78">
        <f t="shared" si="11"/>
        <v>9.915963827580363</v>
      </c>
      <c r="AQ41" s="78">
        <f t="shared" si="33"/>
        <v>0.36214650699732659</v>
      </c>
      <c r="AR41" s="78">
        <f t="shared" si="34"/>
        <v>13.399951118351842</v>
      </c>
      <c r="AS41" s="78">
        <f t="shared" si="35"/>
        <v>29.479892460374053</v>
      </c>
      <c r="AT41" s="78">
        <f t="shared" si="36"/>
        <v>27.381083721604316</v>
      </c>
      <c r="AU41" s="78">
        <f t="shared" si="37"/>
        <v>60.238384187529498</v>
      </c>
      <c r="AV41" s="78">
        <f t="shared" si="12"/>
        <v>8.2143251164812945</v>
      </c>
      <c r="AW41" s="79">
        <f t="shared" si="13"/>
        <v>1631.2905720600297</v>
      </c>
      <c r="AX41" s="79">
        <f t="shared" si="14"/>
        <v>16312.905720600298</v>
      </c>
      <c r="AY41" s="30"/>
      <c r="AZ41" s="1"/>
      <c r="BA41" s="55"/>
    </row>
    <row r="42" spans="1:53" x14ac:dyDescent="0.25">
      <c r="A42" s="47" t="s">
        <v>197</v>
      </c>
      <c r="B42" s="47"/>
      <c r="C42" s="48">
        <v>10</v>
      </c>
      <c r="D42" s="48">
        <v>37.1</v>
      </c>
      <c r="E42" s="48">
        <v>76.8</v>
      </c>
      <c r="F42" s="48">
        <v>3.5</v>
      </c>
      <c r="G42" s="48">
        <v>7.4</v>
      </c>
      <c r="H42" s="80">
        <f>'Fiber_Ash Inputs'!V15</f>
        <v>33</v>
      </c>
      <c r="I42" s="80">
        <f>'Fiber_Ash Inputs'!W15</f>
        <v>64.2</v>
      </c>
      <c r="J42" s="80">
        <f>'Fiber_Ash Inputs'!X15</f>
        <v>7.9</v>
      </c>
      <c r="K42" s="80">
        <f>'Fiber_Ash Inputs'!U15</f>
        <v>3.8</v>
      </c>
      <c r="L42" s="76">
        <f t="shared" si="15"/>
        <v>24.35079535546226</v>
      </c>
      <c r="M42" s="76">
        <f t="shared" si="16"/>
        <v>94.616843393682686</v>
      </c>
      <c r="N42" s="76">
        <f t="shared" si="2"/>
        <v>23.939393939393938</v>
      </c>
      <c r="O42" s="76">
        <f t="shared" si="17"/>
        <v>23.939393939393938</v>
      </c>
      <c r="P42" s="76">
        <f>(100*((LN((100-O42)-I42)-4.6052)/-'Fiber_Ash Inputs'!$D$17))*'Fiber_Ash Inputs'!$C$17</f>
        <v>7.8962129870537208</v>
      </c>
      <c r="Q42" s="76">
        <f t="shared" si="18"/>
        <v>58.692014861185669</v>
      </c>
      <c r="R42" s="76">
        <f>IF('Fiber_Ash Inputs'!$B$11=30,I42,IF('Fiber_Ash Inputs'!$B$11=48,I42*0.926))</f>
        <v>64.2</v>
      </c>
      <c r="S42" s="76">
        <f t="shared" si="3"/>
        <v>5.6980000000000004</v>
      </c>
      <c r="T42" s="76">
        <f t="shared" si="4"/>
        <v>1.7094</v>
      </c>
      <c r="U42" s="46">
        <f t="shared" si="5"/>
        <v>2.5</v>
      </c>
      <c r="V42" s="77">
        <f t="shared" si="6"/>
        <v>16.200000000000003</v>
      </c>
      <c r="W42" s="76">
        <f t="shared" si="19"/>
        <v>4.6220642054758168</v>
      </c>
      <c r="X42" s="76">
        <f t="shared" si="20"/>
        <v>2.8508363113062085</v>
      </c>
      <c r="Y42" s="76">
        <f t="shared" si="21"/>
        <v>1.4411766571646742</v>
      </c>
      <c r="Z42" s="76">
        <f t="shared" si="7"/>
        <v>3.4780699344061135</v>
      </c>
      <c r="AA42" s="76">
        <f t="shared" si="8"/>
        <v>1.0434209803218339</v>
      </c>
      <c r="AB42" s="76">
        <f t="shared" si="22"/>
        <v>3.5104452732959892</v>
      </c>
      <c r="AC42" s="76">
        <f t="shared" si="23"/>
        <v>2.1779611432134014</v>
      </c>
      <c r="AD42" s="76">
        <f t="shared" si="24"/>
        <v>15.413805182771084</v>
      </c>
      <c r="AE42" s="76">
        <f t="shared" si="25"/>
        <v>3.2738517935541771</v>
      </c>
      <c r="AF42" s="46">
        <f t="shared" si="26"/>
        <v>5.9999999999999991E-2</v>
      </c>
      <c r="AG42" s="76">
        <f t="shared" si="27"/>
        <v>0.42463030795937773</v>
      </c>
      <c r="AH42" s="76">
        <f t="shared" si="38"/>
        <v>0.82374075548341619</v>
      </c>
      <c r="AI42" s="50">
        <f t="shared" si="9"/>
        <v>345.18122568184083</v>
      </c>
      <c r="AJ42" s="76">
        <f t="shared" si="28"/>
        <v>0.18293588224611082</v>
      </c>
      <c r="AK42" s="76">
        <f t="shared" si="29"/>
        <v>0.28189717178008455</v>
      </c>
      <c r="AL42" s="76">
        <f t="shared" si="30"/>
        <v>2.8090187395279815</v>
      </c>
      <c r="AM42" s="76">
        <f t="shared" si="31"/>
        <v>1.853952368088468</v>
      </c>
      <c r="AN42" s="76">
        <f t="shared" si="10"/>
        <v>33.943979180908109</v>
      </c>
      <c r="AO42" s="76">
        <f t="shared" si="32"/>
        <v>0.2972332280064735</v>
      </c>
      <c r="AP42" s="78">
        <f t="shared" si="11"/>
        <v>10.089278503325849</v>
      </c>
      <c r="AQ42" s="78">
        <f t="shared" si="33"/>
        <v>0.36623427572169942</v>
      </c>
      <c r="AR42" s="78">
        <f t="shared" si="34"/>
        <v>13.634160139629525</v>
      </c>
      <c r="AS42" s="78">
        <f t="shared" si="35"/>
        <v>29.995152307184959</v>
      </c>
      <c r="AT42" s="78">
        <f t="shared" si="36"/>
        <v>27.548700851235097</v>
      </c>
      <c r="AU42" s="78">
        <f t="shared" si="37"/>
        <v>60.607141872717214</v>
      </c>
      <c r="AV42" s="78">
        <f t="shared" si="12"/>
        <v>8.2646102553705294</v>
      </c>
      <c r="AW42" s="79">
        <f t="shared" si="13"/>
        <v>1649.7039446923393</v>
      </c>
      <c r="AX42" s="79">
        <f t="shared" si="14"/>
        <v>16497.039446923394</v>
      </c>
      <c r="AY42" s="30"/>
      <c r="AZ42" s="1"/>
      <c r="BA42" s="55"/>
    </row>
    <row r="43" spans="1:53" x14ac:dyDescent="0.25">
      <c r="A43" s="47" t="s">
        <v>198</v>
      </c>
      <c r="B43" s="47"/>
      <c r="C43" s="48">
        <v>10</v>
      </c>
      <c r="D43" s="48">
        <v>37.1</v>
      </c>
      <c r="E43" s="48">
        <v>76.8</v>
      </c>
      <c r="F43" s="48">
        <v>3.5</v>
      </c>
      <c r="G43" s="48">
        <v>7.4</v>
      </c>
      <c r="H43" s="80">
        <f>'Fiber_Ash Inputs'!V16</f>
        <v>35.6</v>
      </c>
      <c r="I43" s="80">
        <f>'Fiber_Ash Inputs'!W16</f>
        <v>70</v>
      </c>
      <c r="J43" s="80">
        <f>'Fiber_Ash Inputs'!X16</f>
        <v>7.9</v>
      </c>
      <c r="K43" s="80">
        <f>'Fiber_Ash Inputs'!U16</f>
        <v>3.8</v>
      </c>
      <c r="L43" s="76">
        <f t="shared" si="15"/>
        <v>24.35079535546226</v>
      </c>
      <c r="M43" s="76">
        <f t="shared" si="16"/>
        <v>94.616843393682686</v>
      </c>
      <c r="N43" s="76">
        <f t="shared" si="2"/>
        <v>22.191011235955056</v>
      </c>
      <c r="O43" s="76">
        <f t="shared" si="17"/>
        <v>22.191011235955056</v>
      </c>
      <c r="P43" s="76">
        <f>(100*((LN((100-O43)-I43)-4.6052)/-'Fiber_Ash Inputs'!$D$17))*'Fiber_Ash Inputs'!$C$17</f>
        <v>9.444164904323511</v>
      </c>
      <c r="Q43" s="76">
        <f t="shared" si="18"/>
        <v>63.129850252552018</v>
      </c>
      <c r="R43" s="76">
        <f>IF('Fiber_Ash Inputs'!$B$11=30,I43,IF('Fiber_Ash Inputs'!$B$11=48,I43*0.926))</f>
        <v>70</v>
      </c>
      <c r="S43" s="76">
        <f t="shared" si="3"/>
        <v>5.6980000000000004</v>
      </c>
      <c r="T43" s="76">
        <f t="shared" si="4"/>
        <v>1.7094</v>
      </c>
      <c r="U43" s="46">
        <f t="shared" si="5"/>
        <v>2.5</v>
      </c>
      <c r="V43" s="77">
        <f t="shared" si="6"/>
        <v>13.6</v>
      </c>
      <c r="W43" s="76">
        <f t="shared" si="19"/>
        <v>4.6096557872493822</v>
      </c>
      <c r="X43" s="76">
        <f t="shared" si="20"/>
        <v>2.8431829409346143</v>
      </c>
      <c r="Y43" s="76">
        <f t="shared" si="21"/>
        <v>1.4373076666216418</v>
      </c>
      <c r="Z43" s="76">
        <f t="shared" si="7"/>
        <v>3.5138761294062379</v>
      </c>
      <c r="AA43" s="76">
        <f t="shared" si="8"/>
        <v>1.0541628388218713</v>
      </c>
      <c r="AB43" s="76">
        <f t="shared" si="22"/>
        <v>3.5211871317960268</v>
      </c>
      <c r="AC43" s="76">
        <f t="shared" si="23"/>
        <v>2.1838238483682351</v>
      </c>
      <c r="AD43" s="76">
        <f t="shared" si="24"/>
        <v>15.518325182771083</v>
      </c>
      <c r="AE43" s="76">
        <f t="shared" si="25"/>
        <v>3.2839699897700898</v>
      </c>
      <c r="AF43" s="46">
        <f t="shared" si="26"/>
        <v>5.9999999999999991E-2</v>
      </c>
      <c r="AG43" s="76">
        <f t="shared" si="27"/>
        <v>0.42636200335571361</v>
      </c>
      <c r="AH43" s="76">
        <f t="shared" si="38"/>
        <v>0.82308284594597225</v>
      </c>
      <c r="AI43" s="50">
        <f t="shared" si="9"/>
        <v>343.06057667208682</v>
      </c>
      <c r="AJ43" s="76">
        <f t="shared" si="28"/>
        <v>0.1823014080677226</v>
      </c>
      <c r="AK43" s="76">
        <f t="shared" si="29"/>
        <v>0.28302573214188742</v>
      </c>
      <c r="AL43" s="76">
        <f t="shared" si="30"/>
        <v>2.8186428495604798</v>
      </c>
      <c r="AM43" s="76">
        <f t="shared" si="31"/>
        <v>1.8603042807099168</v>
      </c>
      <c r="AN43" s="76">
        <f t="shared" si="10"/>
        <v>33.98138287366757</v>
      </c>
      <c r="AO43" s="76">
        <f t="shared" si="32"/>
        <v>0.29937711327605077</v>
      </c>
      <c r="AP43" s="78">
        <f t="shared" si="11"/>
        <v>10.173248309846828</v>
      </c>
      <c r="AQ43" s="78">
        <f t="shared" si="33"/>
        <v>0.37027637124025575</v>
      </c>
      <c r="AR43" s="78">
        <f t="shared" si="34"/>
        <v>13.747632851144363</v>
      </c>
      <c r="AS43" s="78">
        <f t="shared" si="35"/>
        <v>30.2447922725176</v>
      </c>
      <c r="AT43" s="78">
        <f t="shared" si="36"/>
        <v>27.474743461947408</v>
      </c>
      <c r="AU43" s="78">
        <f t="shared" si="37"/>
        <v>60.444435616284302</v>
      </c>
      <c r="AV43" s="78">
        <f t="shared" si="12"/>
        <v>8.2424230385842225</v>
      </c>
      <c r="AW43" s="79">
        <f t="shared" si="13"/>
        <v>1667.9115821633143</v>
      </c>
      <c r="AX43" s="79">
        <f t="shared" si="14"/>
        <v>16679.115821633142</v>
      </c>
      <c r="AY43" s="30"/>
      <c r="AZ43" s="1"/>
      <c r="BA43" s="55"/>
    </row>
    <row r="44" spans="1:53" x14ac:dyDescent="0.25">
      <c r="A44" s="47" t="s">
        <v>199</v>
      </c>
      <c r="B44" s="47"/>
      <c r="C44" s="48">
        <v>10</v>
      </c>
      <c r="D44" s="48">
        <v>37.1</v>
      </c>
      <c r="E44" s="48">
        <v>76.8</v>
      </c>
      <c r="F44" s="48">
        <v>3.5</v>
      </c>
      <c r="G44" s="48">
        <v>7.4</v>
      </c>
      <c r="H44" s="80">
        <f>'Fiber_Ash Inputs'!V17</f>
        <v>35.6</v>
      </c>
      <c r="I44" s="80">
        <f>'Fiber_Ash Inputs'!W17</f>
        <v>75</v>
      </c>
      <c r="J44" s="80">
        <f>'Fiber_Ash Inputs'!X17</f>
        <v>7.9</v>
      </c>
      <c r="K44" s="80">
        <f>'Fiber_Ash Inputs'!U17</f>
        <v>3.8</v>
      </c>
      <c r="L44" s="76">
        <f t="shared" si="15"/>
        <v>24.35079535546226</v>
      </c>
      <c r="M44" s="76">
        <f t="shared" si="16"/>
        <v>94.616843393682686</v>
      </c>
      <c r="N44" s="76">
        <f t="shared" si="2"/>
        <v>22.191011235955056</v>
      </c>
      <c r="O44" s="76">
        <f t="shared" si="17"/>
        <v>22.191011235955056</v>
      </c>
      <c r="P44" s="76">
        <f>(100*((LN((100-O44)-I44)-4.6052)/-'Fiber_Ash Inputs'!$D$17))*'Fiber_Ash Inputs'!$C$17</f>
        <v>13.231020192110721</v>
      </c>
      <c r="Q44" s="76">
        <f t="shared" si="18"/>
        <v>68.256292771541993</v>
      </c>
      <c r="R44" s="76">
        <f>IF('Fiber_Ash Inputs'!$B$11=30,I44,IF('Fiber_Ash Inputs'!$B$11=48,I44*0.926))</f>
        <v>75</v>
      </c>
      <c r="S44" s="76">
        <f t="shared" si="3"/>
        <v>5.6980000000000004</v>
      </c>
      <c r="T44" s="76">
        <f t="shared" si="4"/>
        <v>1.7094</v>
      </c>
      <c r="U44" s="46">
        <f t="shared" si="5"/>
        <v>2.5</v>
      </c>
      <c r="V44" s="77">
        <f t="shared" si="6"/>
        <v>13.6</v>
      </c>
      <c r="W44" s="76">
        <f t="shared" si="19"/>
        <v>4.6303551079817993</v>
      </c>
      <c r="X44" s="76">
        <f t="shared" si="20"/>
        <v>2.8559500450984721</v>
      </c>
      <c r="Y44" s="76">
        <f t="shared" si="21"/>
        <v>1.4437617911280436</v>
      </c>
      <c r="Z44" s="76">
        <f t="shared" si="7"/>
        <v>3.590526697950176</v>
      </c>
      <c r="AA44" s="76">
        <f t="shared" si="8"/>
        <v>1.0771580093850528</v>
      </c>
      <c r="AB44" s="76">
        <f t="shared" si="22"/>
        <v>3.5441823023592081</v>
      </c>
      <c r="AC44" s="76">
        <f t="shared" si="23"/>
        <v>2.1740613854023705</v>
      </c>
      <c r="AD44" s="76">
        <f t="shared" si="24"/>
        <v>15.518325182771083</v>
      </c>
      <c r="AE44" s="76">
        <f t="shared" si="25"/>
        <v>3.3070203182490281</v>
      </c>
      <c r="AF44" s="46">
        <f t="shared" si="26"/>
        <v>0.06</v>
      </c>
      <c r="AG44" s="76">
        <f t="shared" si="27"/>
        <v>0.42827655061539999</v>
      </c>
      <c r="AH44" s="76">
        <f t="shared" si="38"/>
        <v>0.82314103275599093</v>
      </c>
      <c r="AI44" s="50">
        <f t="shared" si="9"/>
        <v>345.82964569777852</v>
      </c>
      <c r="AJ44" s="76">
        <f t="shared" si="28"/>
        <v>0.18295135380213801</v>
      </c>
      <c r="AK44" s="76">
        <f t="shared" si="29"/>
        <v>0.28307479099048566</v>
      </c>
      <c r="AL44" s="76">
        <f t="shared" si="30"/>
        <v>2.8409941734564046</v>
      </c>
      <c r="AM44" s="76">
        <f t="shared" si="31"/>
        <v>1.8750561544812272</v>
      </c>
      <c r="AN44" s="76">
        <f t="shared" si="10"/>
        <v>34.618018719375655</v>
      </c>
      <c r="AO44" s="76">
        <f t="shared" si="32"/>
        <v>0.30392285652688789</v>
      </c>
      <c r="AP44" s="78">
        <f t="shared" si="11"/>
        <v>10.521207136493926</v>
      </c>
      <c r="AQ44" s="78">
        <f t="shared" si="33"/>
        <v>0.38122916938785489</v>
      </c>
      <c r="AR44" s="78">
        <f t="shared" si="34"/>
        <v>14.217847481748549</v>
      </c>
      <c r="AS44" s="78">
        <f t="shared" si="35"/>
        <v>31.279264459846811</v>
      </c>
      <c r="AT44" s="78">
        <f t="shared" si="36"/>
        <v>27.598116779437362</v>
      </c>
      <c r="AU44" s="78">
        <f t="shared" si="37"/>
        <v>60.715856914762199</v>
      </c>
      <c r="AV44" s="78">
        <f t="shared" si="12"/>
        <v>8.2794350338312075</v>
      </c>
      <c r="AW44" s="79">
        <f t="shared" si="13"/>
        <v>1717.2485107561033</v>
      </c>
      <c r="AX44" s="79">
        <f t="shared" si="14"/>
        <v>17172.485107561035</v>
      </c>
      <c r="AY44" s="30"/>
      <c r="AZ44" s="1"/>
      <c r="BA44" s="55"/>
    </row>
    <row r="45" spans="1:53" x14ac:dyDescent="0.25">
      <c r="A45" s="47" t="s">
        <v>200</v>
      </c>
      <c r="B45" s="47"/>
      <c r="C45" s="48">
        <v>10</v>
      </c>
      <c r="D45" s="48">
        <v>37.1</v>
      </c>
      <c r="E45" s="48">
        <v>76.8</v>
      </c>
      <c r="F45" s="48">
        <v>3.5</v>
      </c>
      <c r="G45" s="48">
        <v>7.4</v>
      </c>
      <c r="H45" s="80">
        <f>'Fiber_Ash Inputs'!V18</f>
        <v>35.6</v>
      </c>
      <c r="I45" s="80">
        <f>'Fiber_Ash Inputs'!W18</f>
        <v>60</v>
      </c>
      <c r="J45" s="80">
        <f>'Fiber_Ash Inputs'!X18</f>
        <v>7.9</v>
      </c>
      <c r="K45" s="80">
        <f>'Fiber_Ash Inputs'!U18</f>
        <v>3.8</v>
      </c>
      <c r="L45" s="76">
        <f t="shared" si="15"/>
        <v>24.35079535546226</v>
      </c>
      <c r="M45" s="76">
        <f t="shared" si="16"/>
        <v>94.616843393682686</v>
      </c>
      <c r="N45" s="76">
        <f t="shared" si="2"/>
        <v>22.191011235955056</v>
      </c>
      <c r="O45" s="76">
        <f t="shared" si="17"/>
        <v>22.191011235955056</v>
      </c>
      <c r="P45" s="76">
        <f>(100*((LN((100-O45)-I45)-4.6052)/-'Fiber_Ash Inputs'!$D$17))*'Fiber_Ash Inputs'!$C$17</f>
        <v>6.3907284571139211</v>
      </c>
      <c r="Q45" s="76">
        <f t="shared" si="18"/>
        <v>56.096499147808515</v>
      </c>
      <c r="R45" s="76">
        <f>IF('Fiber_Ash Inputs'!$B$11=30,I45,IF('Fiber_Ash Inputs'!$B$11=48,I45*0.926))</f>
        <v>60</v>
      </c>
      <c r="S45" s="76">
        <f t="shared" si="3"/>
        <v>5.6980000000000004</v>
      </c>
      <c r="T45" s="76">
        <f t="shared" si="4"/>
        <v>1.7094</v>
      </c>
      <c r="U45" s="46">
        <f t="shared" si="5"/>
        <v>2.5</v>
      </c>
      <c r="V45" s="77">
        <f t="shared" si="6"/>
        <v>13.6</v>
      </c>
      <c r="W45" s="76">
        <f t="shared" si="19"/>
        <v>4.5682571457845462</v>
      </c>
      <c r="X45" s="76">
        <f t="shared" si="20"/>
        <v>2.817648732606898</v>
      </c>
      <c r="Y45" s="76">
        <f t="shared" si="21"/>
        <v>1.4243994176088377</v>
      </c>
      <c r="Z45" s="76">
        <f t="shared" si="7"/>
        <v>3.4087134636881129</v>
      </c>
      <c r="AA45" s="76">
        <f t="shared" si="8"/>
        <v>1.0226140391064338</v>
      </c>
      <c r="AB45" s="76">
        <f t="shared" si="22"/>
        <v>3.489638332080589</v>
      </c>
      <c r="AC45" s="76">
        <f t="shared" si="23"/>
        <v>2.2036141836396155</v>
      </c>
      <c r="AD45" s="76">
        <f t="shared" si="24"/>
        <v>15.518325182771083</v>
      </c>
      <c r="AE45" s="76">
        <f t="shared" si="25"/>
        <v>3.2523093746603688</v>
      </c>
      <c r="AF45" s="46">
        <f t="shared" si="26"/>
        <v>0.06</v>
      </c>
      <c r="AG45" s="76">
        <f t="shared" si="27"/>
        <v>0.4225329088363407</v>
      </c>
      <c r="AH45" s="76">
        <f t="shared" si="38"/>
        <v>0.82296489041746812</v>
      </c>
      <c r="AI45" s="50">
        <f t="shared" si="9"/>
        <v>337.52243862070316</v>
      </c>
      <c r="AJ45" s="76">
        <f t="shared" si="28"/>
        <v>0.18098384670669515</v>
      </c>
      <c r="AK45" s="76">
        <f t="shared" si="29"/>
        <v>0.28292628069554837</v>
      </c>
      <c r="AL45" s="76">
        <f t="shared" si="30"/>
        <v>2.7883992472581252</v>
      </c>
      <c r="AM45" s="76">
        <f t="shared" si="31"/>
        <v>1.8403435031903628</v>
      </c>
      <c r="AN45" s="76">
        <f t="shared" si="10"/>
        <v>32.978867065397431</v>
      </c>
      <c r="AO45" s="76">
        <f t="shared" si="32"/>
        <v>0.29304298663430023</v>
      </c>
      <c r="AP45" s="78">
        <f t="shared" si="11"/>
        <v>9.6642257006596228</v>
      </c>
      <c r="AQ45" s="78">
        <f t="shared" si="33"/>
        <v>0.35493708046446748</v>
      </c>
      <c r="AR45" s="78">
        <f t="shared" si="34"/>
        <v>13.059764460350841</v>
      </c>
      <c r="AS45" s="78">
        <f t="shared" si="35"/>
        <v>28.731481812771854</v>
      </c>
      <c r="AT45" s="78">
        <f t="shared" si="36"/>
        <v>27.227996826967487</v>
      </c>
      <c r="AU45" s="78">
        <f t="shared" si="37"/>
        <v>59.90159301932848</v>
      </c>
      <c r="AV45" s="78">
        <f t="shared" si="12"/>
        <v>8.1683990480902455</v>
      </c>
      <c r="AW45" s="79">
        <f t="shared" si="13"/>
        <v>1598.8156777678714</v>
      </c>
      <c r="AX45" s="79">
        <f t="shared" si="14"/>
        <v>15988.156777678714</v>
      </c>
      <c r="AY45" s="30"/>
      <c r="AZ45" s="1"/>
      <c r="BA45" s="55"/>
    </row>
    <row r="46" spans="1:53" x14ac:dyDescent="0.25">
      <c r="A46" s="47" t="s">
        <v>201</v>
      </c>
      <c r="B46" s="47"/>
      <c r="C46" s="48">
        <v>10</v>
      </c>
      <c r="D46" s="48">
        <v>37.1</v>
      </c>
      <c r="E46" s="48">
        <v>76.8</v>
      </c>
      <c r="F46" s="48">
        <v>3.5</v>
      </c>
      <c r="G46" s="48">
        <v>7.4</v>
      </c>
      <c r="H46" s="80">
        <f>'Fiber_Ash Inputs'!V19</f>
        <v>35.6</v>
      </c>
      <c r="I46" s="80">
        <f>'Fiber_Ash Inputs'!W19</f>
        <v>55</v>
      </c>
      <c r="J46" s="80">
        <f>'Fiber_Ash Inputs'!X19</f>
        <v>7.9</v>
      </c>
      <c r="K46" s="80">
        <f>'Fiber_Ash Inputs'!U19</f>
        <v>3.8</v>
      </c>
      <c r="L46" s="76">
        <f t="shared" si="15"/>
        <v>24.35079535546226</v>
      </c>
      <c r="M46" s="76">
        <f t="shared" si="16"/>
        <v>94.616843393682686</v>
      </c>
      <c r="N46" s="76">
        <f t="shared" si="2"/>
        <v>22.191011235955056</v>
      </c>
      <c r="O46" s="76">
        <f t="shared" si="17"/>
        <v>22.191011235955056</v>
      </c>
      <c r="P46" s="76">
        <f>(100*((LN((100-O46)-I46)-4.6052)/-'Fiber_Ash Inputs'!$D$17))*'Fiber_Ash Inputs'!$C$17</f>
        <v>5.474241843319656</v>
      </c>
      <c r="Q46" s="76">
        <f t="shared" si="18"/>
        <v>53.036780359446468</v>
      </c>
      <c r="R46" s="76">
        <f>IF('Fiber_Ash Inputs'!$B$11=30,I46,IF('Fiber_Ash Inputs'!$B$11=48,I46*0.926))</f>
        <v>55</v>
      </c>
      <c r="S46" s="76">
        <f t="shared" si="3"/>
        <v>5.6980000000000004</v>
      </c>
      <c r="T46" s="76">
        <f t="shared" si="4"/>
        <v>1.7094</v>
      </c>
      <c r="U46" s="46">
        <f t="shared" si="5"/>
        <v>2.5</v>
      </c>
      <c r="V46" s="77">
        <f t="shared" si="6"/>
        <v>13.6</v>
      </c>
      <c r="W46" s="76">
        <f t="shared" si="19"/>
        <v>4.5475578250521291</v>
      </c>
      <c r="X46" s="76">
        <f t="shared" si="20"/>
        <v>2.8048816284430402</v>
      </c>
      <c r="Y46" s="76">
        <f t="shared" si="21"/>
        <v>1.4179452931024357</v>
      </c>
      <c r="Z46" s="76">
        <f t="shared" si="7"/>
        <v>3.3629645483645239</v>
      </c>
      <c r="AA46" s="76">
        <f t="shared" si="8"/>
        <v>1.0088893645093571</v>
      </c>
      <c r="AB46" s="76">
        <f t="shared" si="22"/>
        <v>3.4759136574835123</v>
      </c>
      <c r="AC46" s="76">
        <f t="shared" si="23"/>
        <v>2.2136444720960657</v>
      </c>
      <c r="AD46" s="76">
        <f t="shared" si="24"/>
        <v>15.518325182771083</v>
      </c>
      <c r="AE46" s="76">
        <f t="shared" si="25"/>
        <v>3.238528028933513</v>
      </c>
      <c r="AF46" s="46">
        <f t="shared" si="26"/>
        <v>0.06</v>
      </c>
      <c r="AG46" s="76">
        <f t="shared" si="27"/>
        <v>0.42061836157665433</v>
      </c>
      <c r="AH46" s="76">
        <f t="shared" si="38"/>
        <v>0.82290510729809674</v>
      </c>
      <c r="AI46" s="50">
        <f t="shared" si="9"/>
        <v>334.75336959501146</v>
      </c>
      <c r="AJ46" s="76">
        <f t="shared" si="28"/>
        <v>0.18031607022241855</v>
      </c>
      <c r="AK46" s="76">
        <f t="shared" si="29"/>
        <v>0.28287587595603725</v>
      </c>
      <c r="AL46" s="76">
        <f t="shared" si="30"/>
        <v>2.7753360827550573</v>
      </c>
      <c r="AM46" s="76">
        <f t="shared" si="31"/>
        <v>1.8317218146183378</v>
      </c>
      <c r="AN46" s="76">
        <f t="shared" si="10"/>
        <v>32.51813015932705</v>
      </c>
      <c r="AO46" s="76">
        <f t="shared" si="32"/>
        <v>0.29025156086292764</v>
      </c>
      <c r="AP46" s="78">
        <f t="shared" si="11"/>
        <v>9.4384380350885184</v>
      </c>
      <c r="AQ46" s="78">
        <f t="shared" si="33"/>
        <v>0.34822243635991584</v>
      </c>
      <c r="AR46" s="78">
        <f t="shared" si="34"/>
        <v>12.754645993362862</v>
      </c>
      <c r="AS46" s="78">
        <f t="shared" si="35"/>
        <v>28.060221185398298</v>
      </c>
      <c r="AT46" s="78">
        <f t="shared" si="36"/>
        <v>27.104623509477531</v>
      </c>
      <c r="AU46" s="78">
        <f t="shared" si="37"/>
        <v>59.630171720850569</v>
      </c>
      <c r="AV46" s="78">
        <f t="shared" si="12"/>
        <v>8.1313870528432588</v>
      </c>
      <c r="AW46" s="79">
        <f t="shared" si="13"/>
        <v>1568.5695331527741</v>
      </c>
      <c r="AX46" s="79">
        <f t="shared" si="14"/>
        <v>15685.695331527741</v>
      </c>
      <c r="AY46" s="30"/>
      <c r="AZ46" s="1"/>
      <c r="BA46" s="55"/>
    </row>
    <row r="47" spans="1:53" x14ac:dyDescent="0.25">
      <c r="A47" s="47" t="s">
        <v>202</v>
      </c>
      <c r="B47" s="47"/>
      <c r="C47" s="48">
        <v>10</v>
      </c>
      <c r="D47" s="48">
        <v>39</v>
      </c>
      <c r="E47" s="48">
        <v>76.8</v>
      </c>
      <c r="F47" s="48">
        <v>3.5</v>
      </c>
      <c r="G47" s="48">
        <v>7.4</v>
      </c>
      <c r="H47" s="80">
        <f>'Fiber_Ash Inputs'!V20</f>
        <v>35.6</v>
      </c>
      <c r="I47" s="80">
        <f>'Fiber_Ash Inputs'!W20</f>
        <v>64.2</v>
      </c>
      <c r="J47" s="80">
        <f>'Fiber_Ash Inputs'!X20</f>
        <v>7.9</v>
      </c>
      <c r="K47" s="80">
        <f>'Fiber_Ash Inputs'!U20</f>
        <v>3.8</v>
      </c>
      <c r="L47" s="76">
        <f t="shared" si="15"/>
        <v>24.35079535546226</v>
      </c>
      <c r="M47" s="76">
        <f t="shared" si="16"/>
        <v>94.616843393682686</v>
      </c>
      <c r="N47" s="76">
        <f t="shared" si="2"/>
        <v>22.191011235955056</v>
      </c>
      <c r="O47" s="76">
        <f t="shared" si="17"/>
        <v>22.191011235955056</v>
      </c>
      <c r="P47" s="76">
        <f>(100*((LN((100-O47)-I47)-4.6052)/-'Fiber_Ash Inputs'!$D$17))*'Fiber_Ash Inputs'!$C$17</f>
        <v>7.3869240261072449</v>
      </c>
      <c r="Q47" s="76">
        <f t="shared" si="18"/>
        <v>58.830414718402729</v>
      </c>
      <c r="R47" s="76">
        <f>IF('Fiber_Ash Inputs'!$B$11=30,I47,IF('Fiber_Ash Inputs'!$B$11=48,I47*0.926))</f>
        <v>64.2</v>
      </c>
      <c r="S47" s="76">
        <f t="shared" si="3"/>
        <v>5.6980000000000004</v>
      </c>
      <c r="T47" s="76">
        <f t="shared" si="4"/>
        <v>1.7094</v>
      </c>
      <c r="U47" s="46">
        <f t="shared" si="5"/>
        <v>2.5</v>
      </c>
      <c r="V47" s="77">
        <f t="shared" si="6"/>
        <v>11.700000000000001</v>
      </c>
      <c r="W47" s="76">
        <f t="shared" si="19"/>
        <v>4.5856445751997779</v>
      </c>
      <c r="X47" s="76">
        <f t="shared" si="20"/>
        <v>2.8283731001045389</v>
      </c>
      <c r="Y47" s="76">
        <f t="shared" si="21"/>
        <v>1.4298208821942155</v>
      </c>
      <c r="Z47" s="76">
        <f t="shared" si="7"/>
        <v>3.4564745263351409</v>
      </c>
      <c r="AA47" s="76">
        <f t="shared" si="8"/>
        <v>1.0369423579005421</v>
      </c>
      <c r="AB47" s="76">
        <f t="shared" si="22"/>
        <v>3.5039666508746974</v>
      </c>
      <c r="AC47" s="76">
        <f t="shared" si="23"/>
        <v>2.1952587200950457</v>
      </c>
      <c r="AD47" s="76">
        <f t="shared" si="24"/>
        <v>15.518325182771083</v>
      </c>
      <c r="AE47" s="76">
        <f t="shared" si="25"/>
        <v>3.266684901823504</v>
      </c>
      <c r="AF47" s="46">
        <f t="shared" si="26"/>
        <v>6.0000000000000005E-2</v>
      </c>
      <c r="AG47" s="76">
        <f t="shared" si="27"/>
        <v>0.42414112853447733</v>
      </c>
      <c r="AH47" s="76">
        <f t="shared" si="38"/>
        <v>0.82301469114619663</v>
      </c>
      <c r="AI47" s="50">
        <f t="shared" si="9"/>
        <v>339.84845660228433</v>
      </c>
      <c r="AJ47" s="76">
        <f t="shared" si="28"/>
        <v>0.18154012004763848</v>
      </c>
      <c r="AK47" s="76">
        <f t="shared" si="29"/>
        <v>0.28296826901575345</v>
      </c>
      <c r="AL47" s="76">
        <f t="shared" si="30"/>
        <v>2.8021765127601119</v>
      </c>
      <c r="AM47" s="76">
        <f t="shared" si="31"/>
        <v>1.849436498421674</v>
      </c>
      <c r="AN47" s="76">
        <f t="shared" si="10"/>
        <v>33.418114848392939</v>
      </c>
      <c r="AO47" s="76">
        <f t="shared" si="32"/>
        <v>0.29593385474764422</v>
      </c>
      <c r="AP47" s="78">
        <f t="shared" si="11"/>
        <v>9.8895515454844087</v>
      </c>
      <c r="AQ47" s="78">
        <f t="shared" si="33"/>
        <v>0.36183540446756801</v>
      </c>
      <c r="AR47" s="78">
        <f t="shared" si="34"/>
        <v>13.364258845249202</v>
      </c>
      <c r="AS47" s="78">
        <f t="shared" si="35"/>
        <v>29.401369459548246</v>
      </c>
      <c r="AT47" s="78">
        <f t="shared" si="36"/>
        <v>27.331630413659056</v>
      </c>
      <c r="AU47" s="78">
        <f t="shared" si="37"/>
        <v>60.12958691004993</v>
      </c>
      <c r="AV47" s="78">
        <f t="shared" si="12"/>
        <v>8.1994891240977168</v>
      </c>
      <c r="AW47" s="79">
        <f t="shared" si="13"/>
        <v>1629.8892093133697</v>
      </c>
      <c r="AX47" s="79">
        <f t="shared" si="14"/>
        <v>16298.892093133698</v>
      </c>
      <c r="AY47" s="30"/>
      <c r="AZ47" s="1"/>
      <c r="BA47" s="55"/>
    </row>
    <row r="48" spans="1:53" x14ac:dyDescent="0.25">
      <c r="A48" s="47" t="s">
        <v>203</v>
      </c>
      <c r="B48" s="47"/>
      <c r="C48" s="48">
        <v>10</v>
      </c>
      <c r="D48" s="48">
        <v>41</v>
      </c>
      <c r="E48" s="48">
        <v>76.8</v>
      </c>
      <c r="F48" s="48">
        <v>3.5</v>
      </c>
      <c r="G48" s="48">
        <v>7.4</v>
      </c>
      <c r="H48" s="80">
        <f>'Fiber_Ash Inputs'!V21</f>
        <v>35.6</v>
      </c>
      <c r="I48" s="80">
        <f>'Fiber_Ash Inputs'!W21</f>
        <v>64.2</v>
      </c>
      <c r="J48" s="80">
        <f>'Fiber_Ash Inputs'!X21</f>
        <v>7.9</v>
      </c>
      <c r="K48" s="80">
        <f>'Fiber_Ash Inputs'!U21</f>
        <v>3.8</v>
      </c>
      <c r="L48" s="76">
        <f t="shared" si="15"/>
        <v>24.35079535546226</v>
      </c>
      <c r="M48" s="76">
        <f t="shared" si="16"/>
        <v>94.616843393682686</v>
      </c>
      <c r="N48" s="76">
        <f t="shared" si="2"/>
        <v>22.191011235955056</v>
      </c>
      <c r="O48" s="76">
        <f t="shared" si="17"/>
        <v>22.191011235955056</v>
      </c>
      <c r="P48" s="76">
        <f>(100*((LN((100-O48)-I48)-4.6052)/-'Fiber_Ash Inputs'!$D$17))*'Fiber_Ash Inputs'!$C$17</f>
        <v>7.3869240261072449</v>
      </c>
      <c r="Q48" s="76">
        <f t="shared" si="18"/>
        <v>58.830414718402729</v>
      </c>
      <c r="R48" s="76">
        <f>IF('Fiber_Ash Inputs'!$B$11=30,I48,IF('Fiber_Ash Inputs'!$B$11=48,I48*0.926))</f>
        <v>64.2</v>
      </c>
      <c r="S48" s="76">
        <f t="shared" si="3"/>
        <v>5.6980000000000004</v>
      </c>
      <c r="T48" s="76">
        <f t="shared" si="4"/>
        <v>1.7094</v>
      </c>
      <c r="U48" s="46">
        <f t="shared" si="5"/>
        <v>2.5</v>
      </c>
      <c r="V48" s="77">
        <f t="shared" si="6"/>
        <v>9.7000000000000011</v>
      </c>
      <c r="W48" s="76">
        <f t="shared" si="19"/>
        <v>4.5856445751997779</v>
      </c>
      <c r="X48" s="76">
        <f t="shared" si="20"/>
        <v>2.8283731001045389</v>
      </c>
      <c r="Y48" s="76">
        <f t="shared" si="21"/>
        <v>1.4298208821942155</v>
      </c>
      <c r="Z48" s="76">
        <f t="shared" si="7"/>
        <v>3.4637203758461963</v>
      </c>
      <c r="AA48" s="76">
        <f t="shared" si="8"/>
        <v>1.0391161127538588</v>
      </c>
      <c r="AB48" s="76">
        <f t="shared" si="22"/>
        <v>3.5061404057280141</v>
      </c>
      <c r="AC48" s="76">
        <f t="shared" si="23"/>
        <v>2.1952587200950457</v>
      </c>
      <c r="AD48" s="76">
        <f t="shared" si="24"/>
        <v>15.518325182771083</v>
      </c>
      <c r="AE48" s="76">
        <f t="shared" si="25"/>
        <v>3.2688586566768207</v>
      </c>
      <c r="AF48" s="46">
        <f t="shared" si="26"/>
        <v>6.0000000000000005E-2</v>
      </c>
      <c r="AG48" s="76">
        <f t="shared" si="27"/>
        <v>0.42414112853447733</v>
      </c>
      <c r="AH48" s="76">
        <f t="shared" si="38"/>
        <v>0.82301469114619663</v>
      </c>
      <c r="AI48" s="50">
        <f t="shared" si="9"/>
        <v>339.84845660228433</v>
      </c>
      <c r="AJ48" s="76">
        <f t="shared" si="28"/>
        <v>0.18154012004763848</v>
      </c>
      <c r="AK48" s="76">
        <f t="shared" si="29"/>
        <v>0.28296826901575345</v>
      </c>
      <c r="AL48" s="76">
        <f t="shared" si="30"/>
        <v>2.8043502676134286</v>
      </c>
      <c r="AM48" s="76">
        <f t="shared" si="31"/>
        <v>1.8508711766248629</v>
      </c>
      <c r="AN48" s="76">
        <f t="shared" si="10"/>
        <v>33.457326942805032</v>
      </c>
      <c r="AO48" s="76">
        <f t="shared" si="32"/>
        <v>0.29637036527580163</v>
      </c>
      <c r="AP48" s="78">
        <f t="shared" si="11"/>
        <v>9.9157602071910471</v>
      </c>
      <c r="AQ48" s="78">
        <f t="shared" si="33"/>
        <v>0.36279431768679338</v>
      </c>
      <c r="AR48" s="78">
        <f t="shared" si="34"/>
        <v>13.399675955663577</v>
      </c>
      <c r="AS48" s="78">
        <f t="shared" si="35"/>
        <v>29.479287102459871</v>
      </c>
      <c r="AT48" s="78">
        <f t="shared" si="36"/>
        <v>27.331630413659056</v>
      </c>
      <c r="AU48" s="78">
        <f t="shared" si="37"/>
        <v>60.12958691004993</v>
      </c>
      <c r="AV48" s="78">
        <f t="shared" si="12"/>
        <v>8.1994891240977168</v>
      </c>
      <c r="AW48" s="79">
        <f t="shared" si="13"/>
        <v>1634.2086382287989</v>
      </c>
      <c r="AX48" s="79">
        <f t="shared" si="14"/>
        <v>16342.086382287989</v>
      </c>
      <c r="AY48" s="30"/>
      <c r="AZ48" s="1"/>
      <c r="BA48" s="55"/>
    </row>
    <row r="49" spans="1:53" x14ac:dyDescent="0.25">
      <c r="A49" s="47" t="s">
        <v>204</v>
      </c>
      <c r="B49" s="47"/>
      <c r="C49" s="48">
        <v>10</v>
      </c>
      <c r="D49" s="48">
        <v>35</v>
      </c>
      <c r="E49" s="48">
        <v>76.8</v>
      </c>
      <c r="F49" s="48">
        <v>3.5</v>
      </c>
      <c r="G49" s="48">
        <v>7.4</v>
      </c>
      <c r="H49" s="80">
        <f>'Fiber_Ash Inputs'!V22</f>
        <v>35.6</v>
      </c>
      <c r="I49" s="80">
        <f>'Fiber_Ash Inputs'!W22</f>
        <v>64.2</v>
      </c>
      <c r="J49" s="80">
        <f>'Fiber_Ash Inputs'!X22</f>
        <v>7.9</v>
      </c>
      <c r="K49" s="80">
        <f>'Fiber_Ash Inputs'!U22</f>
        <v>3.8</v>
      </c>
      <c r="L49" s="76">
        <f t="shared" si="15"/>
        <v>24.35079535546226</v>
      </c>
      <c r="M49" s="76">
        <f t="shared" si="16"/>
        <v>94.616843393682686</v>
      </c>
      <c r="N49" s="76">
        <f t="shared" si="2"/>
        <v>22.191011235955056</v>
      </c>
      <c r="O49" s="76">
        <f t="shared" si="17"/>
        <v>22.191011235955056</v>
      </c>
      <c r="P49" s="76">
        <f>(100*((LN((100-O49)-I49)-4.6052)/-'Fiber_Ash Inputs'!$D$17))*'Fiber_Ash Inputs'!$C$17</f>
        <v>7.3869240261072449</v>
      </c>
      <c r="Q49" s="76">
        <f t="shared" si="18"/>
        <v>58.830414718402729</v>
      </c>
      <c r="R49" s="76">
        <f>IF('Fiber_Ash Inputs'!$B$11=30,I49,IF('Fiber_Ash Inputs'!$B$11=48,I49*0.926))</f>
        <v>64.2</v>
      </c>
      <c r="S49" s="76">
        <f t="shared" si="3"/>
        <v>5.6980000000000004</v>
      </c>
      <c r="T49" s="76">
        <f t="shared" si="4"/>
        <v>1.7094</v>
      </c>
      <c r="U49" s="46">
        <f t="shared" si="5"/>
        <v>2.5</v>
      </c>
      <c r="V49" s="77">
        <f t="shared" si="6"/>
        <v>15.700000000000001</v>
      </c>
      <c r="W49" s="76">
        <f t="shared" si="19"/>
        <v>4.5856445751997779</v>
      </c>
      <c r="X49" s="76">
        <f t="shared" si="20"/>
        <v>2.8283731001045389</v>
      </c>
      <c r="Y49" s="76">
        <f t="shared" si="21"/>
        <v>1.4298208821942155</v>
      </c>
      <c r="Z49" s="76">
        <f t="shared" si="7"/>
        <v>3.44198282731303</v>
      </c>
      <c r="AA49" s="76">
        <f t="shared" si="8"/>
        <v>1.0325948481939089</v>
      </c>
      <c r="AB49" s="76">
        <f t="shared" si="22"/>
        <v>3.4996191411680644</v>
      </c>
      <c r="AC49" s="76">
        <f t="shared" si="23"/>
        <v>2.1952587200950457</v>
      </c>
      <c r="AD49" s="76">
        <f t="shared" si="24"/>
        <v>15.518325182771083</v>
      </c>
      <c r="AE49" s="76">
        <f t="shared" si="25"/>
        <v>3.262337392116871</v>
      </c>
      <c r="AF49" s="46">
        <f t="shared" si="26"/>
        <v>6.0000000000000005E-2</v>
      </c>
      <c r="AG49" s="76">
        <f t="shared" si="27"/>
        <v>0.42414112853447733</v>
      </c>
      <c r="AH49" s="76">
        <f t="shared" si="38"/>
        <v>0.82301469114619663</v>
      </c>
      <c r="AI49" s="50">
        <f t="shared" si="9"/>
        <v>339.84845660228433</v>
      </c>
      <c r="AJ49" s="76">
        <f t="shared" si="28"/>
        <v>0.18154012004763848</v>
      </c>
      <c r="AK49" s="76">
        <f t="shared" si="29"/>
        <v>0.28296826901575345</v>
      </c>
      <c r="AL49" s="76">
        <f t="shared" si="30"/>
        <v>2.7978290030534789</v>
      </c>
      <c r="AM49" s="76">
        <f t="shared" si="31"/>
        <v>1.8465671420152963</v>
      </c>
      <c r="AN49" s="76">
        <f t="shared" si="10"/>
        <v>33.33969065956876</v>
      </c>
      <c r="AO49" s="76">
        <f t="shared" si="32"/>
        <v>0.29505920688537002</v>
      </c>
      <c r="AP49" s="78">
        <f t="shared" si="11"/>
        <v>9.8371826838159375</v>
      </c>
      <c r="AQ49" s="78">
        <f t="shared" si="33"/>
        <v>0.3599193511302487</v>
      </c>
      <c r="AR49" s="78">
        <f t="shared" si="34"/>
        <v>13.293490113264781</v>
      </c>
      <c r="AS49" s="78">
        <f t="shared" si="35"/>
        <v>29.245678249182522</v>
      </c>
      <c r="AT49" s="78">
        <f t="shared" si="36"/>
        <v>27.331630413659056</v>
      </c>
      <c r="AU49" s="78">
        <f t="shared" si="37"/>
        <v>60.12958691004993</v>
      </c>
      <c r="AV49" s="78">
        <f t="shared" si="12"/>
        <v>8.1994891240977168</v>
      </c>
      <c r="AW49" s="79">
        <f t="shared" si="13"/>
        <v>1621.2583384245436</v>
      </c>
      <c r="AX49" s="79">
        <f t="shared" si="14"/>
        <v>16212.583384245436</v>
      </c>
      <c r="AY49" s="30"/>
      <c r="AZ49" s="1"/>
      <c r="BA49" s="55"/>
    </row>
    <row r="50" spans="1:53" x14ac:dyDescent="0.25">
      <c r="A50" s="47" t="s">
        <v>205</v>
      </c>
      <c r="B50" s="47"/>
      <c r="C50" s="48">
        <v>10</v>
      </c>
      <c r="D50" s="48">
        <v>33</v>
      </c>
      <c r="E50" s="48">
        <v>76.8</v>
      </c>
      <c r="F50" s="48">
        <v>3.5</v>
      </c>
      <c r="G50" s="48">
        <v>7.4</v>
      </c>
      <c r="H50" s="80">
        <f>'Fiber_Ash Inputs'!V23</f>
        <v>35.6</v>
      </c>
      <c r="I50" s="80">
        <f>'Fiber_Ash Inputs'!W23</f>
        <v>64.2</v>
      </c>
      <c r="J50" s="80">
        <f>'Fiber_Ash Inputs'!X23</f>
        <v>7.9</v>
      </c>
      <c r="K50" s="80">
        <f>'Fiber_Ash Inputs'!U23</f>
        <v>3.8</v>
      </c>
      <c r="L50" s="76">
        <f t="shared" si="15"/>
        <v>24.35079535546226</v>
      </c>
      <c r="M50" s="76">
        <f t="shared" si="16"/>
        <v>94.616843393682686</v>
      </c>
      <c r="N50" s="76">
        <f t="shared" si="2"/>
        <v>22.191011235955056</v>
      </c>
      <c r="O50" s="76">
        <f t="shared" si="17"/>
        <v>22.191011235955056</v>
      </c>
      <c r="P50" s="76">
        <f>(100*((LN((100-O50)-I50)-4.6052)/-'Fiber_Ash Inputs'!$D$17))*'Fiber_Ash Inputs'!$C$17</f>
        <v>7.3869240261072449</v>
      </c>
      <c r="Q50" s="76">
        <f t="shared" si="18"/>
        <v>58.830414718402729</v>
      </c>
      <c r="R50" s="76">
        <f>IF('Fiber_Ash Inputs'!$B$11=30,I50,IF('Fiber_Ash Inputs'!$B$11=48,I50*0.926))</f>
        <v>64.2</v>
      </c>
      <c r="S50" s="76">
        <f t="shared" si="3"/>
        <v>5.6980000000000004</v>
      </c>
      <c r="T50" s="76">
        <f t="shared" si="4"/>
        <v>1.7094</v>
      </c>
      <c r="U50" s="46">
        <f t="shared" si="5"/>
        <v>2.5</v>
      </c>
      <c r="V50" s="77">
        <f t="shared" si="6"/>
        <v>17.700000000000003</v>
      </c>
      <c r="W50" s="76">
        <f t="shared" si="19"/>
        <v>4.5856445751997779</v>
      </c>
      <c r="X50" s="76">
        <f t="shared" si="20"/>
        <v>2.8283731001045389</v>
      </c>
      <c r="Y50" s="76">
        <f t="shared" si="21"/>
        <v>1.4298208821942155</v>
      </c>
      <c r="Z50" s="76">
        <f t="shared" si="7"/>
        <v>3.4347369778019741</v>
      </c>
      <c r="AA50" s="76">
        <f t="shared" si="8"/>
        <v>1.0304210933405922</v>
      </c>
      <c r="AB50" s="76">
        <f t="shared" si="22"/>
        <v>3.4974453863147477</v>
      </c>
      <c r="AC50" s="76">
        <f t="shared" si="23"/>
        <v>2.1952587200950457</v>
      </c>
      <c r="AD50" s="76">
        <f t="shared" si="24"/>
        <v>15.518325182771083</v>
      </c>
      <c r="AE50" s="76">
        <f t="shared" si="25"/>
        <v>3.2601636372635543</v>
      </c>
      <c r="AF50" s="46">
        <f t="shared" si="26"/>
        <v>6.0000000000000005E-2</v>
      </c>
      <c r="AG50" s="76">
        <f t="shared" si="27"/>
        <v>0.42414112853447733</v>
      </c>
      <c r="AH50" s="76">
        <f t="shared" si="38"/>
        <v>0.82301469114619663</v>
      </c>
      <c r="AI50" s="50">
        <f t="shared" si="9"/>
        <v>339.84845660228433</v>
      </c>
      <c r="AJ50" s="76">
        <f t="shared" si="28"/>
        <v>0.18154012004763848</v>
      </c>
      <c r="AK50" s="76">
        <f t="shared" si="29"/>
        <v>0.28296826901575345</v>
      </c>
      <c r="AL50" s="76">
        <f t="shared" si="30"/>
        <v>2.7956552482001622</v>
      </c>
      <c r="AM50" s="76">
        <f t="shared" si="31"/>
        <v>1.8451324638121072</v>
      </c>
      <c r="AN50" s="76">
        <f t="shared" si="10"/>
        <v>33.300478565156659</v>
      </c>
      <c r="AO50" s="76">
        <f t="shared" si="32"/>
        <v>0.29462106752904732</v>
      </c>
      <c r="AP50" s="78">
        <f t="shared" si="11"/>
        <v>9.8110225440946124</v>
      </c>
      <c r="AQ50" s="78">
        <f t="shared" si="33"/>
        <v>0.35896221321621297</v>
      </c>
      <c r="AR50" s="78">
        <f t="shared" si="34"/>
        <v>13.258138573100828</v>
      </c>
      <c r="AS50" s="78">
        <f t="shared" si="35"/>
        <v>29.167904860821825</v>
      </c>
      <c r="AT50" s="78">
        <f t="shared" si="36"/>
        <v>27.331630413659056</v>
      </c>
      <c r="AU50" s="78">
        <f t="shared" si="37"/>
        <v>60.12958691004993</v>
      </c>
      <c r="AV50" s="78">
        <f t="shared" si="12"/>
        <v>8.1994891240977168</v>
      </c>
      <c r="AW50" s="79">
        <f t="shared" si="13"/>
        <v>1616.9469063793376</v>
      </c>
      <c r="AX50" s="79">
        <f t="shared" si="14"/>
        <v>16169.469063793376</v>
      </c>
      <c r="AY50" s="30"/>
      <c r="AZ50" s="1"/>
      <c r="BA50" s="55"/>
    </row>
    <row r="51" spans="1:53" x14ac:dyDescent="0.25">
      <c r="A51" s="47" t="s">
        <v>206</v>
      </c>
      <c r="B51" s="47"/>
      <c r="C51" s="48">
        <v>10</v>
      </c>
      <c r="D51" s="48">
        <v>37.1</v>
      </c>
      <c r="E51" s="48">
        <v>80</v>
      </c>
      <c r="F51" s="48">
        <v>3.5</v>
      </c>
      <c r="G51" s="48">
        <v>7.4</v>
      </c>
      <c r="H51" s="80">
        <f>'Fiber_Ash Inputs'!V24</f>
        <v>35.6</v>
      </c>
      <c r="I51" s="80">
        <f>'Fiber_Ash Inputs'!W24</f>
        <v>64.2</v>
      </c>
      <c r="J51" s="80">
        <f>'Fiber_Ash Inputs'!X24</f>
        <v>7.9</v>
      </c>
      <c r="K51" s="80">
        <f>'Fiber_Ash Inputs'!U24</f>
        <v>3.8</v>
      </c>
      <c r="L51" s="76">
        <f t="shared" si="15"/>
        <v>26.824462107433483</v>
      </c>
      <c r="M51" s="76">
        <f t="shared" si="16"/>
        <v>95.005955551999904</v>
      </c>
      <c r="N51" s="76">
        <f t="shared" si="2"/>
        <v>22.191011235955056</v>
      </c>
      <c r="O51" s="76">
        <f t="shared" si="17"/>
        <v>22.191011235955056</v>
      </c>
      <c r="P51" s="76">
        <f>(100*((LN((100-O51)-I51)-4.6052)/-'Fiber_Ash Inputs'!$D$17))*'Fiber_Ash Inputs'!$C$17</f>
        <v>7.3869240261072449</v>
      </c>
      <c r="Q51" s="76">
        <f t="shared" si="18"/>
        <v>58.830414718402729</v>
      </c>
      <c r="R51" s="76">
        <f>IF('Fiber_Ash Inputs'!$B$11=30,I51,IF('Fiber_Ash Inputs'!$B$11=48,I51*0.926))</f>
        <v>64.2</v>
      </c>
      <c r="S51" s="76">
        <f t="shared" si="3"/>
        <v>5.6980000000000004</v>
      </c>
      <c r="T51" s="76">
        <f t="shared" si="4"/>
        <v>1.7094</v>
      </c>
      <c r="U51" s="46">
        <f t="shared" si="5"/>
        <v>2.5</v>
      </c>
      <c r="V51" s="77">
        <f t="shared" si="6"/>
        <v>13.6</v>
      </c>
      <c r="W51" s="76">
        <f t="shared" si="19"/>
        <v>4.5856445751997779</v>
      </c>
      <c r="X51" s="76">
        <f t="shared" si="20"/>
        <v>2.8283731001045389</v>
      </c>
      <c r="Y51" s="76">
        <f t="shared" si="21"/>
        <v>1.4298208821942155</v>
      </c>
      <c r="Z51" s="76">
        <f t="shared" si="7"/>
        <v>3.4556974231337572</v>
      </c>
      <c r="AA51" s="76">
        <f t="shared" si="8"/>
        <v>1.036709226940127</v>
      </c>
      <c r="AB51" s="76">
        <f t="shared" si="22"/>
        <v>3.5037335199142827</v>
      </c>
      <c r="AC51" s="76">
        <f t="shared" si="23"/>
        <v>2.1952587200950457</v>
      </c>
      <c r="AD51" s="76">
        <f t="shared" si="24"/>
        <v>15.518325182771083</v>
      </c>
      <c r="AE51" s="76">
        <f t="shared" si="25"/>
        <v>3.2664517708630894</v>
      </c>
      <c r="AF51" s="46">
        <f t="shared" si="26"/>
        <v>6.0000000000000005E-2</v>
      </c>
      <c r="AG51" s="76">
        <f t="shared" si="27"/>
        <v>0.42414112853447733</v>
      </c>
      <c r="AH51" s="76">
        <f t="shared" si="38"/>
        <v>0.82301469114619663</v>
      </c>
      <c r="AI51" s="50">
        <f t="shared" si="9"/>
        <v>339.84845660228433</v>
      </c>
      <c r="AJ51" s="76">
        <f t="shared" si="28"/>
        <v>0.18154012004763848</v>
      </c>
      <c r="AK51" s="76">
        <f t="shared" si="29"/>
        <v>0.28296826901575345</v>
      </c>
      <c r="AL51" s="76">
        <f t="shared" si="30"/>
        <v>2.8019433817996973</v>
      </c>
      <c r="AM51" s="76">
        <f t="shared" si="31"/>
        <v>1.8492826319878002</v>
      </c>
      <c r="AN51" s="76">
        <f t="shared" si="10"/>
        <v>33.41390942788923</v>
      </c>
      <c r="AO51" s="76">
        <f t="shared" si="32"/>
        <v>0.29588700768701431</v>
      </c>
      <c r="AP51" s="78">
        <f t="shared" si="11"/>
        <v>9.8867416757430604</v>
      </c>
      <c r="AQ51" s="78">
        <f t="shared" si="33"/>
        <v>0.36173259795003426</v>
      </c>
      <c r="AR51" s="78">
        <f t="shared" si="34"/>
        <v>13.360461723977108</v>
      </c>
      <c r="AS51" s="78">
        <f t="shared" si="35"/>
        <v>29.39301579274964</v>
      </c>
      <c r="AT51" s="78">
        <f t="shared" si="36"/>
        <v>27.331630413659056</v>
      </c>
      <c r="AU51" s="78">
        <f t="shared" si="37"/>
        <v>60.12958691004993</v>
      </c>
      <c r="AV51" s="78">
        <f t="shared" si="12"/>
        <v>8.1994891240977168</v>
      </c>
      <c r="AW51" s="79">
        <f t="shared" si="13"/>
        <v>1629.4261168920464</v>
      </c>
      <c r="AX51" s="79">
        <f t="shared" si="14"/>
        <v>16294.261168920464</v>
      </c>
      <c r="AY51" s="30"/>
      <c r="AZ51" s="1"/>
      <c r="BA51" s="55"/>
    </row>
    <row r="52" spans="1:53" x14ac:dyDescent="0.25">
      <c r="A52" s="47" t="s">
        <v>207</v>
      </c>
      <c r="B52" s="47"/>
      <c r="C52" s="48">
        <v>10</v>
      </c>
      <c r="D52" s="48">
        <v>37.1</v>
      </c>
      <c r="E52" s="48">
        <v>85</v>
      </c>
      <c r="F52" s="48">
        <v>3.5</v>
      </c>
      <c r="G52" s="48">
        <v>7.4</v>
      </c>
      <c r="H52" s="80">
        <f>'Fiber_Ash Inputs'!V25</f>
        <v>35.6</v>
      </c>
      <c r="I52" s="80">
        <f>'Fiber_Ash Inputs'!W25</f>
        <v>64.2</v>
      </c>
      <c r="J52" s="80">
        <f>'Fiber_Ash Inputs'!X25</f>
        <v>7.9</v>
      </c>
      <c r="K52" s="80">
        <f>'Fiber_Ash Inputs'!U25</f>
        <v>3.8</v>
      </c>
      <c r="L52" s="76">
        <f t="shared" si="15"/>
        <v>31.619163314963167</v>
      </c>
      <c r="M52" s="76">
        <f t="shared" si="16"/>
        <v>95.634493848839028</v>
      </c>
      <c r="N52" s="76">
        <f t="shared" si="2"/>
        <v>22.191011235955056</v>
      </c>
      <c r="O52" s="76">
        <f t="shared" si="17"/>
        <v>22.191011235955056</v>
      </c>
      <c r="P52" s="76">
        <f>(100*((LN((100-O52)-I52)-4.6052)/-'Fiber_Ash Inputs'!$D$17))*'Fiber_Ash Inputs'!$C$17</f>
        <v>7.3869240261072449</v>
      </c>
      <c r="Q52" s="76">
        <f t="shared" si="18"/>
        <v>58.830414718402729</v>
      </c>
      <c r="R52" s="76">
        <f>IF('Fiber_Ash Inputs'!$B$11=30,I52,IF('Fiber_Ash Inputs'!$B$11=48,I52*0.926))</f>
        <v>64.2</v>
      </c>
      <c r="S52" s="76">
        <f t="shared" si="3"/>
        <v>5.6980000000000004</v>
      </c>
      <c r="T52" s="76">
        <f t="shared" si="4"/>
        <v>1.7094</v>
      </c>
      <c r="U52" s="46">
        <f t="shared" si="5"/>
        <v>2.5</v>
      </c>
      <c r="V52" s="77">
        <f t="shared" si="6"/>
        <v>13.6</v>
      </c>
      <c r="W52" s="76">
        <f t="shared" si="19"/>
        <v>4.5856445751997779</v>
      </c>
      <c r="X52" s="76">
        <f t="shared" si="20"/>
        <v>2.8283731001045389</v>
      </c>
      <c r="Y52" s="76">
        <f t="shared" si="21"/>
        <v>1.4298208821942155</v>
      </c>
      <c r="Z52" s="76">
        <f t="shared" si="7"/>
        <v>3.4655612631875425</v>
      </c>
      <c r="AA52" s="76">
        <f t="shared" si="8"/>
        <v>1.0396683789562626</v>
      </c>
      <c r="AB52" s="76">
        <f t="shared" si="22"/>
        <v>3.5066926719304181</v>
      </c>
      <c r="AC52" s="76">
        <f t="shared" si="23"/>
        <v>2.1952587200950457</v>
      </c>
      <c r="AD52" s="76">
        <f t="shared" si="24"/>
        <v>15.518325182771083</v>
      </c>
      <c r="AE52" s="76">
        <f t="shared" si="25"/>
        <v>3.2694109228792247</v>
      </c>
      <c r="AF52" s="46">
        <f t="shared" si="26"/>
        <v>6.0000000000000005E-2</v>
      </c>
      <c r="AG52" s="76">
        <f t="shared" si="27"/>
        <v>0.42414112853447733</v>
      </c>
      <c r="AH52" s="76">
        <f t="shared" si="38"/>
        <v>0.82301469114619663</v>
      </c>
      <c r="AI52" s="50">
        <f t="shared" si="9"/>
        <v>339.84845660228433</v>
      </c>
      <c r="AJ52" s="76">
        <f t="shared" si="28"/>
        <v>0.18154012004763848</v>
      </c>
      <c r="AK52" s="76">
        <f t="shared" si="29"/>
        <v>0.28296826901575345</v>
      </c>
      <c r="AL52" s="76">
        <f t="shared" si="30"/>
        <v>2.8049025338158327</v>
      </c>
      <c r="AM52" s="76">
        <f t="shared" si="31"/>
        <v>1.8512356723184495</v>
      </c>
      <c r="AN52" s="76">
        <f t="shared" si="10"/>
        <v>33.467289204389509</v>
      </c>
      <c r="AO52" s="76">
        <f t="shared" si="32"/>
        <v>0.29648117933982793</v>
      </c>
      <c r="AP52" s="78">
        <f t="shared" si="11"/>
        <v>9.922421372624493</v>
      </c>
      <c r="AQ52" s="78">
        <f t="shared" si="33"/>
        <v>0.36303803404518947</v>
      </c>
      <c r="AR52" s="78">
        <f t="shared" si="34"/>
        <v>13.408677530573639</v>
      </c>
      <c r="AS52" s="78">
        <f t="shared" si="35"/>
        <v>29.499090567262009</v>
      </c>
      <c r="AT52" s="78">
        <f t="shared" si="36"/>
        <v>27.331630413659056</v>
      </c>
      <c r="AU52" s="78">
        <f t="shared" si="37"/>
        <v>60.12958691004993</v>
      </c>
      <c r="AV52" s="78">
        <f t="shared" si="12"/>
        <v>8.1994891240977168</v>
      </c>
      <c r="AW52" s="79">
        <f t="shared" si="13"/>
        <v>1635.3064596630159</v>
      </c>
      <c r="AX52" s="79">
        <f t="shared" si="14"/>
        <v>16353.064596630158</v>
      </c>
      <c r="AY52" s="30"/>
      <c r="AZ52" s="1"/>
    </row>
    <row r="53" spans="1:53" x14ac:dyDescent="0.25">
      <c r="A53" s="47" t="s">
        <v>208</v>
      </c>
      <c r="B53" s="47"/>
      <c r="C53" s="48">
        <v>10</v>
      </c>
      <c r="D53" s="48">
        <v>37.1</v>
      </c>
      <c r="E53" s="48">
        <v>70</v>
      </c>
      <c r="F53" s="48">
        <v>3.5</v>
      </c>
      <c r="G53" s="48">
        <v>7.4</v>
      </c>
      <c r="H53" s="80">
        <f>'Fiber_Ash Inputs'!V26</f>
        <v>35.6</v>
      </c>
      <c r="I53" s="80">
        <f>'Fiber_Ash Inputs'!W26</f>
        <v>64.2</v>
      </c>
      <c r="J53" s="80">
        <f>'Fiber_Ash Inputs'!X26</f>
        <v>7.9</v>
      </c>
      <c r="K53" s="80">
        <f>'Fiber_Ash Inputs'!U26</f>
        <v>3.8</v>
      </c>
      <c r="L53" s="76">
        <f t="shared" si="15"/>
        <v>20.066710305630743</v>
      </c>
      <c r="M53" s="76">
        <f t="shared" si="16"/>
        <v>93.80093249840418</v>
      </c>
      <c r="N53" s="76">
        <f t="shared" si="2"/>
        <v>22.191011235955056</v>
      </c>
      <c r="O53" s="76">
        <f t="shared" si="17"/>
        <v>22.191011235955056</v>
      </c>
      <c r="P53" s="76">
        <f>(100*((LN((100-O53)-I53)-4.6052)/-'Fiber_Ash Inputs'!$D$17))*'Fiber_Ash Inputs'!$C$17</f>
        <v>7.3869240261072449</v>
      </c>
      <c r="Q53" s="76">
        <f t="shared" si="18"/>
        <v>58.830414718402729</v>
      </c>
      <c r="R53" s="76">
        <f>IF('Fiber_Ash Inputs'!$B$11=30,I53,IF('Fiber_Ash Inputs'!$B$11=48,I53*0.926))</f>
        <v>64.2</v>
      </c>
      <c r="S53" s="76">
        <f t="shared" si="3"/>
        <v>5.6980000000000004</v>
      </c>
      <c r="T53" s="76">
        <f t="shared" si="4"/>
        <v>1.7094</v>
      </c>
      <c r="U53" s="46">
        <f t="shared" si="5"/>
        <v>2.5</v>
      </c>
      <c r="V53" s="77">
        <f t="shared" si="6"/>
        <v>13.6</v>
      </c>
      <c r="W53" s="76">
        <f t="shared" si="19"/>
        <v>4.5856445751997779</v>
      </c>
      <c r="X53" s="76">
        <f t="shared" si="20"/>
        <v>2.8283731001045389</v>
      </c>
      <c r="Y53" s="76">
        <f t="shared" si="21"/>
        <v>1.4298208821942155</v>
      </c>
      <c r="Z53" s="76">
        <f t="shared" si="7"/>
        <v>3.4367866348467637</v>
      </c>
      <c r="AA53" s="76">
        <f t="shared" si="8"/>
        <v>1.0310359904540292</v>
      </c>
      <c r="AB53" s="76">
        <f t="shared" si="22"/>
        <v>3.4980602834281846</v>
      </c>
      <c r="AC53" s="76">
        <f t="shared" si="23"/>
        <v>2.1952587200950457</v>
      </c>
      <c r="AD53" s="76">
        <f t="shared" si="24"/>
        <v>15.518325182771083</v>
      </c>
      <c r="AE53" s="76">
        <f t="shared" si="25"/>
        <v>3.2607785343769913</v>
      </c>
      <c r="AF53" s="46">
        <f t="shared" si="26"/>
        <v>6.0000000000000005E-2</v>
      </c>
      <c r="AG53" s="76">
        <f t="shared" si="27"/>
        <v>0.42414112853447733</v>
      </c>
      <c r="AH53" s="76">
        <f t="shared" si="38"/>
        <v>0.82301469114619663</v>
      </c>
      <c r="AI53" s="50">
        <f t="shared" si="9"/>
        <v>339.84845660228433</v>
      </c>
      <c r="AJ53" s="76">
        <f t="shared" si="28"/>
        <v>0.18154012004763848</v>
      </c>
      <c r="AK53" s="76">
        <f t="shared" si="29"/>
        <v>0.28296826901575345</v>
      </c>
      <c r="AL53" s="76">
        <f t="shared" si="30"/>
        <v>2.7962701453135992</v>
      </c>
      <c r="AM53" s="76">
        <f t="shared" si="31"/>
        <v>1.8455382959069755</v>
      </c>
      <c r="AN53" s="76">
        <f t="shared" si="10"/>
        <v>33.311570617983605</v>
      </c>
      <c r="AO53" s="76">
        <f t="shared" si="32"/>
        <v>0.2947450606664756</v>
      </c>
      <c r="AP53" s="78">
        <f t="shared" si="11"/>
        <v>9.8184209026931644</v>
      </c>
      <c r="AQ53" s="78">
        <f t="shared" si="33"/>
        <v>0.35923290173667732</v>
      </c>
      <c r="AR53" s="78">
        <f t="shared" si="34"/>
        <v>13.268136354990762</v>
      </c>
      <c r="AS53" s="78">
        <f t="shared" si="35"/>
        <v>29.189899980979678</v>
      </c>
      <c r="AT53" s="78">
        <f t="shared" si="36"/>
        <v>27.331630413659056</v>
      </c>
      <c r="AU53" s="78">
        <f t="shared" si="37"/>
        <v>60.12958691004993</v>
      </c>
      <c r="AV53" s="78">
        <f t="shared" si="12"/>
        <v>8.1994891240977168</v>
      </c>
      <c r="AW53" s="79">
        <f t="shared" si="13"/>
        <v>1618.1662240390867</v>
      </c>
      <c r="AX53" s="79">
        <f t="shared" si="14"/>
        <v>16181.662240390868</v>
      </c>
      <c r="AY53" s="30"/>
      <c r="AZ53" s="1"/>
      <c r="BA53" s="55"/>
    </row>
    <row r="54" spans="1:53" x14ac:dyDescent="0.25">
      <c r="A54" s="47" t="s">
        <v>209</v>
      </c>
      <c r="B54" s="47"/>
      <c r="C54" s="48">
        <v>10</v>
      </c>
      <c r="D54" s="48">
        <v>37.1</v>
      </c>
      <c r="E54" s="48">
        <v>65</v>
      </c>
      <c r="F54" s="48">
        <v>3.5</v>
      </c>
      <c r="G54" s="48">
        <v>7.4</v>
      </c>
      <c r="H54" s="80">
        <f>'Fiber_Ash Inputs'!V27</f>
        <v>35.6</v>
      </c>
      <c r="I54" s="80">
        <f>'Fiber_Ash Inputs'!W27</f>
        <v>64.2</v>
      </c>
      <c r="J54" s="80">
        <f>'Fiber_Ash Inputs'!X27</f>
        <v>7.9</v>
      </c>
      <c r="K54" s="80">
        <f>'Fiber_Ash Inputs'!U27</f>
        <v>3.8</v>
      </c>
      <c r="L54" s="76">
        <f t="shared" si="15"/>
        <v>17.497532308509776</v>
      </c>
      <c r="M54" s="76">
        <f t="shared" si="16"/>
        <v>93.197946712621956</v>
      </c>
      <c r="N54" s="76">
        <f t="shared" si="2"/>
        <v>22.191011235955056</v>
      </c>
      <c r="O54" s="76">
        <f t="shared" si="17"/>
        <v>22.191011235955056</v>
      </c>
      <c r="P54" s="76">
        <f>(100*((LN((100-O54)-I54)-4.6052)/-'Fiber_Ash Inputs'!$D$17))*'Fiber_Ash Inputs'!$C$17</f>
        <v>7.3869240261072449</v>
      </c>
      <c r="Q54" s="76">
        <f t="shared" si="18"/>
        <v>58.830414718402729</v>
      </c>
      <c r="R54" s="76">
        <f>IF('Fiber_Ash Inputs'!$B$11=30,I54,IF('Fiber_Ash Inputs'!$B$11=48,I54*0.926))</f>
        <v>64.2</v>
      </c>
      <c r="S54" s="76">
        <f t="shared" si="3"/>
        <v>5.6980000000000004</v>
      </c>
      <c r="T54" s="76">
        <f t="shared" si="4"/>
        <v>1.7094</v>
      </c>
      <c r="U54" s="46">
        <f t="shared" si="5"/>
        <v>2.5</v>
      </c>
      <c r="V54" s="77">
        <f t="shared" si="6"/>
        <v>13.6</v>
      </c>
      <c r="W54" s="76">
        <f t="shared" si="19"/>
        <v>4.5856445751997779</v>
      </c>
      <c r="X54" s="76">
        <f t="shared" si="20"/>
        <v>2.8283731001045389</v>
      </c>
      <c r="Y54" s="76">
        <f t="shared" si="21"/>
        <v>1.4298208821942155</v>
      </c>
      <c r="Z54" s="76">
        <f t="shared" si="7"/>
        <v>3.4273237980147475</v>
      </c>
      <c r="AA54" s="76">
        <f t="shared" si="8"/>
        <v>1.0281971394044243</v>
      </c>
      <c r="AB54" s="76">
        <f t="shared" si="22"/>
        <v>3.49522143237858</v>
      </c>
      <c r="AC54" s="76">
        <f t="shared" si="23"/>
        <v>2.1952587200950457</v>
      </c>
      <c r="AD54" s="76">
        <f t="shared" si="24"/>
        <v>15.518325182771083</v>
      </c>
      <c r="AE54" s="76">
        <f t="shared" si="25"/>
        <v>3.2579396833273866</v>
      </c>
      <c r="AF54" s="46">
        <f t="shared" si="26"/>
        <v>6.0000000000000005E-2</v>
      </c>
      <c r="AG54" s="76">
        <f t="shared" si="27"/>
        <v>0.42414112853447733</v>
      </c>
      <c r="AH54" s="76">
        <f t="shared" si="38"/>
        <v>0.82301469114619663</v>
      </c>
      <c r="AI54" s="50">
        <f t="shared" si="9"/>
        <v>339.84845660228433</v>
      </c>
      <c r="AJ54" s="76">
        <f t="shared" si="28"/>
        <v>0.18154012004763848</v>
      </c>
      <c r="AK54" s="76">
        <f t="shared" si="29"/>
        <v>0.28296826901575345</v>
      </c>
      <c r="AL54" s="76">
        <f t="shared" si="30"/>
        <v>2.7934312942639945</v>
      </c>
      <c r="AM54" s="76">
        <f t="shared" si="31"/>
        <v>1.8436646542142365</v>
      </c>
      <c r="AN54" s="76">
        <f t="shared" si="10"/>
        <v>33.26036093571004</v>
      </c>
      <c r="AO54" s="76">
        <f t="shared" si="32"/>
        <v>0.29417224610708342</v>
      </c>
      <c r="AP54" s="78">
        <f t="shared" si="11"/>
        <v>9.784275082790117</v>
      </c>
      <c r="AQ54" s="78">
        <f t="shared" si="33"/>
        <v>0.35798358658839463</v>
      </c>
      <c r="AR54" s="78">
        <f t="shared" si="34"/>
        <v>13.22199335512178</v>
      </c>
      <c r="AS54" s="78">
        <f t="shared" si="35"/>
        <v>29.088385381267919</v>
      </c>
      <c r="AT54" s="78">
        <f t="shared" si="36"/>
        <v>27.331630413659056</v>
      </c>
      <c r="AU54" s="78">
        <f t="shared" si="37"/>
        <v>60.12958691004993</v>
      </c>
      <c r="AV54" s="78">
        <f t="shared" si="12"/>
        <v>8.1994891240977168</v>
      </c>
      <c r="AW54" s="79">
        <f t="shared" si="13"/>
        <v>1612.5386783261019</v>
      </c>
      <c r="AX54" s="79">
        <f t="shared" si="14"/>
        <v>16125.386783261019</v>
      </c>
      <c r="AY54" s="30"/>
      <c r="AZ54" s="1"/>
      <c r="BA54" s="55"/>
    </row>
    <row r="55" spans="1:53" x14ac:dyDescent="0.25">
      <c r="A55" s="47" t="s">
        <v>210</v>
      </c>
      <c r="B55" s="47"/>
      <c r="C55" s="48">
        <v>10</v>
      </c>
      <c r="D55" s="48">
        <v>37.1</v>
      </c>
      <c r="E55" s="48">
        <v>76.8</v>
      </c>
      <c r="F55" s="48">
        <v>4</v>
      </c>
      <c r="G55" s="48">
        <v>7.4</v>
      </c>
      <c r="H55" s="80">
        <f>'Fiber_Ash Inputs'!V28</f>
        <v>35.6</v>
      </c>
      <c r="I55" s="80">
        <f>'Fiber_Ash Inputs'!W28</f>
        <v>64.2</v>
      </c>
      <c r="J55" s="80">
        <f>'Fiber_Ash Inputs'!X28</f>
        <v>7.9</v>
      </c>
      <c r="K55" s="80">
        <f>'Fiber_Ash Inputs'!U28</f>
        <v>3.8</v>
      </c>
      <c r="L55" s="76">
        <f t="shared" si="15"/>
        <v>24.35079535546226</v>
      </c>
      <c r="M55" s="76">
        <f t="shared" si="16"/>
        <v>94.616843393682686</v>
      </c>
      <c r="N55" s="76">
        <f t="shared" si="2"/>
        <v>22.191011235955056</v>
      </c>
      <c r="O55" s="76">
        <f t="shared" si="17"/>
        <v>22.191011235955056</v>
      </c>
      <c r="P55" s="76">
        <f>(100*((LN((100-O55)-I55)-4.6052)/-'Fiber_Ash Inputs'!$D$17))*'Fiber_Ash Inputs'!$C$17</f>
        <v>7.3869240261072449</v>
      </c>
      <c r="Q55" s="76">
        <f t="shared" si="18"/>
        <v>58.830414718402729</v>
      </c>
      <c r="R55" s="76">
        <f>IF('Fiber_Ash Inputs'!$B$11=30,I55,IF('Fiber_Ash Inputs'!$B$11=48,I55*0.926))</f>
        <v>64.2</v>
      </c>
      <c r="S55" s="76">
        <f t="shared" si="3"/>
        <v>5.6980000000000004</v>
      </c>
      <c r="T55" s="76">
        <f t="shared" si="4"/>
        <v>1.7094</v>
      </c>
      <c r="U55" s="46">
        <f t="shared" si="5"/>
        <v>3</v>
      </c>
      <c r="V55" s="77">
        <f t="shared" si="6"/>
        <v>13.1</v>
      </c>
      <c r="W55" s="76">
        <f t="shared" si="19"/>
        <v>4.5856445751997779</v>
      </c>
      <c r="X55" s="76">
        <f t="shared" si="20"/>
        <v>2.8283731001045389</v>
      </c>
      <c r="Y55" s="76">
        <f t="shared" si="21"/>
        <v>1.4298208821942155</v>
      </c>
      <c r="Z55" s="76">
        <f t="shared" si="7"/>
        <v>3.4657009692996379</v>
      </c>
      <c r="AA55" s="76">
        <f t="shared" si="8"/>
        <v>1.0397102907898914</v>
      </c>
      <c r="AB55" s="76">
        <f t="shared" si="22"/>
        <v>3.5067345837640467</v>
      </c>
      <c r="AC55" s="76">
        <f t="shared" si="23"/>
        <v>2.1952587200950457</v>
      </c>
      <c r="AD55" s="76">
        <f t="shared" si="24"/>
        <v>15.518325182771083</v>
      </c>
      <c r="AE55" s="76">
        <f t="shared" si="25"/>
        <v>3.2694528347128533</v>
      </c>
      <c r="AF55" s="46">
        <f t="shared" si="26"/>
        <v>6.0000000000000005E-2</v>
      </c>
      <c r="AG55" s="76">
        <f t="shared" si="27"/>
        <v>0.42414112853447733</v>
      </c>
      <c r="AH55" s="76">
        <f t="shared" si="38"/>
        <v>0.82301469114619663</v>
      </c>
      <c r="AI55" s="50">
        <f t="shared" si="9"/>
        <v>339.84845660228433</v>
      </c>
      <c r="AJ55" s="76">
        <f t="shared" si="28"/>
        <v>0.18154012004763848</v>
      </c>
      <c r="AK55" s="76">
        <f t="shared" si="29"/>
        <v>0.28106388207607097</v>
      </c>
      <c r="AL55" s="76">
        <f t="shared" si="30"/>
        <v>2.8068488325891439</v>
      </c>
      <c r="AM55" s="76">
        <f t="shared" si="31"/>
        <v>1.852520229508835</v>
      </c>
      <c r="AN55" s="76">
        <f t="shared" si="10"/>
        <v>33.502398246762333</v>
      </c>
      <c r="AO55" s="76">
        <f t="shared" si="32"/>
        <v>0.29648958766474159</v>
      </c>
      <c r="AP55" s="78">
        <f t="shared" si="11"/>
        <v>9.933112241962526</v>
      </c>
      <c r="AQ55" s="78">
        <f t="shared" si="33"/>
        <v>0.36342918778085137</v>
      </c>
      <c r="AR55" s="78">
        <f t="shared" si="34"/>
        <v>13.423124651300711</v>
      </c>
      <c r="AS55" s="78">
        <f t="shared" si="35"/>
        <v>29.530874232861567</v>
      </c>
      <c r="AT55" s="78">
        <f t="shared" si="36"/>
        <v>27.331630413659056</v>
      </c>
      <c r="AU55" s="78">
        <f t="shared" si="37"/>
        <v>60.12958691004993</v>
      </c>
      <c r="AV55" s="78">
        <f t="shared" si="12"/>
        <v>8.1994891240977168</v>
      </c>
      <c r="AW55" s="79">
        <f t="shared" si="13"/>
        <v>1637.0684134272583</v>
      </c>
      <c r="AX55" s="79">
        <f t="shared" si="14"/>
        <v>16370.684134272582</v>
      </c>
      <c r="AY55" s="30"/>
      <c r="AZ55" s="1"/>
      <c r="BA55" s="55"/>
    </row>
    <row r="56" spans="1:53" x14ac:dyDescent="0.25">
      <c r="A56" s="47" t="s">
        <v>211</v>
      </c>
      <c r="B56" s="47"/>
      <c r="C56" s="48">
        <v>10</v>
      </c>
      <c r="D56" s="48">
        <v>37.1</v>
      </c>
      <c r="E56" s="48">
        <v>76.8</v>
      </c>
      <c r="F56" s="48">
        <v>3</v>
      </c>
      <c r="G56" s="48">
        <v>7.4</v>
      </c>
      <c r="H56" s="80">
        <f>'Fiber_Ash Inputs'!V29</f>
        <v>35.6</v>
      </c>
      <c r="I56" s="80">
        <f>'Fiber_Ash Inputs'!W29</f>
        <v>64.2</v>
      </c>
      <c r="J56" s="80">
        <f>'Fiber_Ash Inputs'!X29</f>
        <v>7.9</v>
      </c>
      <c r="K56" s="80">
        <f>'Fiber_Ash Inputs'!U29</f>
        <v>3.8</v>
      </c>
      <c r="L56" s="76">
        <f t="shared" si="15"/>
        <v>24.35079535546226</v>
      </c>
      <c r="M56" s="76">
        <f t="shared" si="16"/>
        <v>94.616843393682686</v>
      </c>
      <c r="N56" s="76">
        <f t="shared" si="2"/>
        <v>22.191011235955056</v>
      </c>
      <c r="O56" s="76">
        <f t="shared" si="17"/>
        <v>22.191011235955056</v>
      </c>
      <c r="P56" s="76">
        <f>(100*((LN((100-O56)-I56)-4.6052)/-'Fiber_Ash Inputs'!$D$17))*'Fiber_Ash Inputs'!$C$17</f>
        <v>7.3869240261072449</v>
      </c>
      <c r="Q56" s="76">
        <f t="shared" si="18"/>
        <v>58.830414718402729</v>
      </c>
      <c r="R56" s="76">
        <f>IF('Fiber_Ash Inputs'!$B$11=30,I56,IF('Fiber_Ash Inputs'!$B$11=48,I56*0.926))</f>
        <v>64.2</v>
      </c>
      <c r="S56" s="76">
        <f t="shared" si="3"/>
        <v>5.6980000000000004</v>
      </c>
      <c r="T56" s="76">
        <f t="shared" si="4"/>
        <v>1.7094</v>
      </c>
      <c r="U56" s="46">
        <f t="shared" si="5"/>
        <v>2</v>
      </c>
      <c r="V56" s="77">
        <f t="shared" si="6"/>
        <v>14.1</v>
      </c>
      <c r="W56" s="76">
        <f t="shared" si="19"/>
        <v>4.5856445751997779</v>
      </c>
      <c r="X56" s="76">
        <f t="shared" si="20"/>
        <v>2.8283731001045389</v>
      </c>
      <c r="Y56" s="76">
        <f t="shared" si="21"/>
        <v>1.4298208821942155</v>
      </c>
      <c r="Z56" s="76">
        <f t="shared" si="7"/>
        <v>3.4334809692996373</v>
      </c>
      <c r="AA56" s="76">
        <f t="shared" si="8"/>
        <v>1.0300442907898912</v>
      </c>
      <c r="AB56" s="76">
        <f t="shared" si="22"/>
        <v>3.4970685837640465</v>
      </c>
      <c r="AC56" s="76">
        <f t="shared" si="23"/>
        <v>2.1952587200950457</v>
      </c>
      <c r="AD56" s="76">
        <f t="shared" si="24"/>
        <v>15.518325182771083</v>
      </c>
      <c r="AE56" s="76">
        <f t="shared" si="25"/>
        <v>3.2597868347128531</v>
      </c>
      <c r="AF56" s="46">
        <f t="shared" si="26"/>
        <v>6.0000000000000005E-2</v>
      </c>
      <c r="AG56" s="76">
        <f t="shared" si="27"/>
        <v>0.42414112853447733</v>
      </c>
      <c r="AH56" s="76">
        <f t="shared" si="38"/>
        <v>0.82301469114619663</v>
      </c>
      <c r="AI56" s="50">
        <f t="shared" si="9"/>
        <v>339.84845660228433</v>
      </c>
      <c r="AJ56" s="76">
        <f t="shared" si="28"/>
        <v>0.18154012004763848</v>
      </c>
      <c r="AK56" s="76">
        <f t="shared" si="29"/>
        <v>0.28487265595543587</v>
      </c>
      <c r="AL56" s="76">
        <f t="shared" si="30"/>
        <v>2.7933740587097788</v>
      </c>
      <c r="AM56" s="76">
        <f t="shared" si="31"/>
        <v>1.8436268787484542</v>
      </c>
      <c r="AN56" s="76">
        <f t="shared" si="10"/>
        <v>33.259328470640575</v>
      </c>
      <c r="AO56" s="76">
        <f t="shared" si="32"/>
        <v>0.29454506427815319</v>
      </c>
      <c r="AP56" s="78">
        <f t="shared" si="11"/>
        <v>9.796371042233039</v>
      </c>
      <c r="AQ56" s="78">
        <f t="shared" si="33"/>
        <v>0.35842614926247784</v>
      </c>
      <c r="AR56" s="78">
        <f t="shared" si="34"/>
        <v>13.238339246260864</v>
      </c>
      <c r="AS56" s="78">
        <f t="shared" si="35"/>
        <v>29.124346341773904</v>
      </c>
      <c r="AT56" s="78">
        <f t="shared" si="36"/>
        <v>27.331630413659056</v>
      </c>
      <c r="AU56" s="78">
        <f t="shared" si="37"/>
        <v>60.12958691004993</v>
      </c>
      <c r="AV56" s="78">
        <f t="shared" si="12"/>
        <v>8.1994891240977168</v>
      </c>
      <c r="AW56" s="79">
        <f t="shared" si="13"/>
        <v>1614.5322038850352</v>
      </c>
      <c r="AX56" s="79">
        <f t="shared" si="14"/>
        <v>16145.322038850352</v>
      </c>
      <c r="AY56" s="30"/>
      <c r="AZ56" s="1"/>
      <c r="BA56" s="55"/>
    </row>
    <row r="57" spans="1:53" x14ac:dyDescent="0.25">
      <c r="A57" s="47" t="s">
        <v>212</v>
      </c>
      <c r="B57" s="47"/>
      <c r="C57" s="48">
        <v>10</v>
      </c>
      <c r="D57" s="48">
        <v>37.1</v>
      </c>
      <c r="E57" s="48">
        <v>76.8</v>
      </c>
      <c r="F57" s="48">
        <v>3.5</v>
      </c>
      <c r="G57" s="48">
        <v>8</v>
      </c>
      <c r="H57" s="80">
        <f>'Fiber_Ash Inputs'!V30</f>
        <v>35.6</v>
      </c>
      <c r="I57" s="80">
        <f>'Fiber_Ash Inputs'!W30</f>
        <v>64.2</v>
      </c>
      <c r="J57" s="80">
        <f>'Fiber_Ash Inputs'!X30</f>
        <v>7.9</v>
      </c>
      <c r="K57" s="80">
        <f>'Fiber_Ash Inputs'!U30</f>
        <v>3.8</v>
      </c>
      <c r="L57" s="76">
        <f t="shared" si="15"/>
        <v>24.35079535546226</v>
      </c>
      <c r="M57" s="76">
        <f t="shared" si="16"/>
        <v>94.616843393682686</v>
      </c>
      <c r="N57" s="76">
        <f t="shared" si="2"/>
        <v>22.191011235955056</v>
      </c>
      <c r="O57" s="76">
        <f t="shared" si="17"/>
        <v>22.191011235955056</v>
      </c>
      <c r="P57" s="76">
        <f>(100*((LN((100-O57)-I57)-4.6052)/-'Fiber_Ash Inputs'!$D$17))*'Fiber_Ash Inputs'!$C$17</f>
        <v>7.3869240261072449</v>
      </c>
      <c r="Q57" s="76">
        <f t="shared" si="18"/>
        <v>58.830414718402729</v>
      </c>
      <c r="R57" s="76">
        <f>IF('Fiber_Ash Inputs'!$B$11=30,I57,IF('Fiber_Ash Inputs'!$B$11=48,I57*0.926))</f>
        <v>64.2</v>
      </c>
      <c r="S57" s="76">
        <f t="shared" si="3"/>
        <v>6.16</v>
      </c>
      <c r="T57" s="76">
        <f t="shared" si="4"/>
        <v>1.8479999999999999</v>
      </c>
      <c r="U57" s="46">
        <f t="shared" si="5"/>
        <v>2.5</v>
      </c>
      <c r="V57" s="77">
        <f t="shared" si="6"/>
        <v>13</v>
      </c>
      <c r="W57" s="76">
        <f t="shared" si="19"/>
        <v>4.6348415099443638</v>
      </c>
      <c r="X57" s="76">
        <f t="shared" si="20"/>
        <v>2.8662547398578702</v>
      </c>
      <c r="Y57" s="76">
        <f t="shared" si="21"/>
        <v>1.4411853741202152</v>
      </c>
      <c r="Z57" s="76">
        <f t="shared" si="7"/>
        <v>3.4616848692996376</v>
      </c>
      <c r="AA57" s="76">
        <f t="shared" si="8"/>
        <v>1.0385054607898911</v>
      </c>
      <c r="AB57" s="76">
        <f t="shared" si="22"/>
        <v>3.5055297537640469</v>
      </c>
      <c r="AC57" s="76">
        <f t="shared" si="23"/>
        <v>2.1952587200950457</v>
      </c>
      <c r="AD57" s="76">
        <f t="shared" si="24"/>
        <v>15.518325182771083</v>
      </c>
      <c r="AE57" s="76">
        <f t="shared" si="25"/>
        <v>3.2682480047128535</v>
      </c>
      <c r="AF57" s="46">
        <f t="shared" si="26"/>
        <v>6.0000000000000005E-2</v>
      </c>
      <c r="AG57" s="76">
        <f t="shared" si="27"/>
        <v>0.42414112853447733</v>
      </c>
      <c r="AH57" s="76">
        <f t="shared" si="38"/>
        <v>0.82490393193391043</v>
      </c>
      <c r="AI57" s="50">
        <f t="shared" si="9"/>
        <v>347.72783767097729</v>
      </c>
      <c r="AJ57" s="76">
        <f t="shared" si="28"/>
        <v>0.18574912484763847</v>
      </c>
      <c r="AK57" s="76">
        <f t="shared" si="29"/>
        <v>0.28296826901575345</v>
      </c>
      <c r="AL57" s="76">
        <f t="shared" si="30"/>
        <v>2.7995306108494615</v>
      </c>
      <c r="AM57" s="76">
        <f t="shared" si="31"/>
        <v>1.8476902031606448</v>
      </c>
      <c r="AN57" s="76">
        <f t="shared" si="10"/>
        <v>33.370385751725365</v>
      </c>
      <c r="AO57" s="76">
        <f t="shared" si="32"/>
        <v>0.29624779526540906</v>
      </c>
      <c r="AP57" s="78">
        <f t="shared" si="11"/>
        <v>9.8859032061048602</v>
      </c>
      <c r="AQ57" s="78">
        <f t="shared" si="33"/>
        <v>0.3617019203202877</v>
      </c>
      <c r="AR57" s="78">
        <f t="shared" si="34"/>
        <v>13.359328656898461</v>
      </c>
      <c r="AS57" s="78">
        <f t="shared" si="35"/>
        <v>29.390523045176614</v>
      </c>
      <c r="AT57" s="78">
        <f t="shared" si="36"/>
        <v>27.331630413659056</v>
      </c>
      <c r="AU57" s="78">
        <f t="shared" si="37"/>
        <v>60.12958691004993</v>
      </c>
      <c r="AV57" s="78">
        <f t="shared" si="12"/>
        <v>8.1994891240977168</v>
      </c>
      <c r="AW57" s="79">
        <f t="shared" si="13"/>
        <v>1629.2879293706656</v>
      </c>
      <c r="AX57" s="79">
        <f t="shared" si="14"/>
        <v>16292.879293706656</v>
      </c>
      <c r="AY57" s="30"/>
      <c r="AZ57" s="1"/>
      <c r="BA57" s="55"/>
    </row>
    <row r="58" spans="1:53" x14ac:dyDescent="0.25">
      <c r="A58" s="47" t="s">
        <v>213</v>
      </c>
      <c r="B58" s="47"/>
      <c r="C58" s="48">
        <v>10</v>
      </c>
      <c r="D58" s="48">
        <v>37.1</v>
      </c>
      <c r="E58" s="48">
        <v>76.8</v>
      </c>
      <c r="F58" s="48">
        <v>3.5</v>
      </c>
      <c r="G58" s="48">
        <v>8.5</v>
      </c>
      <c r="H58" s="80">
        <f>'Fiber_Ash Inputs'!V31</f>
        <v>35.6</v>
      </c>
      <c r="I58" s="80">
        <f>'Fiber_Ash Inputs'!W31</f>
        <v>64.2</v>
      </c>
      <c r="J58" s="80">
        <f>'Fiber_Ash Inputs'!X31</f>
        <v>7.9</v>
      </c>
      <c r="K58" s="80">
        <f>'Fiber_Ash Inputs'!U31</f>
        <v>3.8</v>
      </c>
      <c r="L58" s="76">
        <f t="shared" si="15"/>
        <v>24.35079535546226</v>
      </c>
      <c r="M58" s="76">
        <f t="shared" si="16"/>
        <v>94.616843393682686</v>
      </c>
      <c r="N58" s="76">
        <f t="shared" si="2"/>
        <v>22.191011235955056</v>
      </c>
      <c r="O58" s="76">
        <f t="shared" si="17"/>
        <v>22.191011235955056</v>
      </c>
      <c r="P58" s="76">
        <f>(100*((LN((100-O58)-I58)-4.6052)/-'Fiber_Ash Inputs'!$D$17))*'Fiber_Ash Inputs'!$C$17</f>
        <v>7.3869240261072449</v>
      </c>
      <c r="Q58" s="76">
        <f t="shared" si="18"/>
        <v>58.830414718402729</v>
      </c>
      <c r="R58" s="76">
        <f>IF('Fiber_Ash Inputs'!$B$11=30,I58,IF('Fiber_Ash Inputs'!$B$11=48,I58*0.926))</f>
        <v>64.2</v>
      </c>
      <c r="S58" s="76">
        <f t="shared" si="3"/>
        <v>6.5449999999999999</v>
      </c>
      <c r="T58" s="76">
        <f t="shared" si="4"/>
        <v>1.9635</v>
      </c>
      <c r="U58" s="46">
        <f t="shared" si="5"/>
        <v>2.5</v>
      </c>
      <c r="V58" s="77">
        <f t="shared" si="6"/>
        <v>12.5</v>
      </c>
      <c r="W58" s="76">
        <f t="shared" si="19"/>
        <v>4.6758389555648536</v>
      </c>
      <c r="X58" s="76">
        <f t="shared" si="20"/>
        <v>2.8978227729856467</v>
      </c>
      <c r="Y58" s="76">
        <f t="shared" si="21"/>
        <v>1.4506557840585479</v>
      </c>
      <c r="Z58" s="76">
        <f t="shared" si="7"/>
        <v>3.4717631192996379</v>
      </c>
      <c r="AA58" s="76">
        <f t="shared" si="8"/>
        <v>1.0415289357898914</v>
      </c>
      <c r="AB58" s="76">
        <f t="shared" si="22"/>
        <v>3.5085532287640468</v>
      </c>
      <c r="AC58" s="76">
        <f t="shared" si="23"/>
        <v>2.1952587200950457</v>
      </c>
      <c r="AD58" s="76">
        <f t="shared" si="24"/>
        <v>15.518325182771083</v>
      </c>
      <c r="AE58" s="76">
        <f t="shared" si="25"/>
        <v>3.2712714797128535</v>
      </c>
      <c r="AF58" s="46">
        <f t="shared" si="26"/>
        <v>6.0000000000000005E-2</v>
      </c>
      <c r="AG58" s="76">
        <f t="shared" si="27"/>
        <v>0.42414112853447733</v>
      </c>
      <c r="AH58" s="76">
        <f t="shared" si="38"/>
        <v>0.82644793057097388</v>
      </c>
      <c r="AI58" s="50">
        <f t="shared" si="9"/>
        <v>354.29398856155473</v>
      </c>
      <c r="AJ58" s="76">
        <f t="shared" si="28"/>
        <v>0.18925662884763844</v>
      </c>
      <c r="AK58" s="76">
        <f t="shared" si="29"/>
        <v>0.28296826901575345</v>
      </c>
      <c r="AL58" s="76">
        <f t="shared" si="30"/>
        <v>2.7990465818494616</v>
      </c>
      <c r="AM58" s="76">
        <f t="shared" si="31"/>
        <v>1.8473707440206448</v>
      </c>
      <c r="AN58" s="76">
        <f t="shared" si="10"/>
        <v>33.361654412578616</v>
      </c>
      <c r="AO58" s="76">
        <f t="shared" si="32"/>
        <v>0.29685424956679063</v>
      </c>
      <c r="AP58" s="78">
        <f t="shared" si="11"/>
        <v>9.9035488849526345</v>
      </c>
      <c r="AQ58" s="78">
        <f t="shared" si="33"/>
        <v>0.36234753415966392</v>
      </c>
      <c r="AR58" s="78">
        <f t="shared" si="34"/>
        <v>13.383174168854911</v>
      </c>
      <c r="AS58" s="78">
        <f t="shared" si="35"/>
        <v>29.442983171480805</v>
      </c>
      <c r="AT58" s="78">
        <f t="shared" si="36"/>
        <v>27.331630413659056</v>
      </c>
      <c r="AU58" s="78">
        <f t="shared" si="37"/>
        <v>60.12958691004993</v>
      </c>
      <c r="AV58" s="78">
        <f t="shared" si="12"/>
        <v>8.1994891240977168</v>
      </c>
      <c r="AW58" s="79">
        <f t="shared" si="13"/>
        <v>1632.1960998183058</v>
      </c>
      <c r="AX58" s="79">
        <f t="shared" si="14"/>
        <v>16321.960998183058</v>
      </c>
      <c r="AY58" s="30"/>
      <c r="AZ58" s="1"/>
      <c r="BA58" s="55"/>
    </row>
    <row r="59" spans="1:53" x14ac:dyDescent="0.25">
      <c r="A59" s="47" t="s">
        <v>214</v>
      </c>
      <c r="B59" s="47"/>
      <c r="C59" s="48">
        <v>10</v>
      </c>
      <c r="D59" s="48">
        <v>37.1</v>
      </c>
      <c r="E59" s="48">
        <v>76.8</v>
      </c>
      <c r="F59" s="48">
        <v>3.5</v>
      </c>
      <c r="G59" s="48">
        <v>7</v>
      </c>
      <c r="H59" s="80">
        <f>'Fiber_Ash Inputs'!V32</f>
        <v>35.6</v>
      </c>
      <c r="I59" s="80">
        <f>'Fiber_Ash Inputs'!W32</f>
        <v>64.2</v>
      </c>
      <c r="J59" s="80">
        <f>'Fiber_Ash Inputs'!X32</f>
        <v>7.9</v>
      </c>
      <c r="K59" s="80">
        <f>'Fiber_Ash Inputs'!U32</f>
        <v>3.8</v>
      </c>
      <c r="L59" s="76">
        <f t="shared" si="15"/>
        <v>24.35079535546226</v>
      </c>
      <c r="M59" s="76">
        <f t="shared" si="16"/>
        <v>94.616843393682686</v>
      </c>
      <c r="N59" s="76">
        <f t="shared" si="2"/>
        <v>22.191011235955056</v>
      </c>
      <c r="O59" s="76">
        <f t="shared" si="17"/>
        <v>22.191011235955056</v>
      </c>
      <c r="P59" s="76">
        <f>(100*((LN((100-O59)-I59)-4.6052)/-'Fiber_Ash Inputs'!$D$17))*'Fiber_Ash Inputs'!$C$17</f>
        <v>7.3869240261072449</v>
      </c>
      <c r="Q59" s="76">
        <f t="shared" si="18"/>
        <v>58.830414718402729</v>
      </c>
      <c r="R59" s="76">
        <f>IF('Fiber_Ash Inputs'!$B$11=30,I59,IF('Fiber_Ash Inputs'!$B$11=48,I59*0.926))</f>
        <v>64.2</v>
      </c>
      <c r="S59" s="76">
        <f t="shared" si="3"/>
        <v>5.3900000000000006</v>
      </c>
      <c r="T59" s="76">
        <f t="shared" si="4"/>
        <v>1.617</v>
      </c>
      <c r="U59" s="46">
        <f t="shared" si="5"/>
        <v>2.5</v>
      </c>
      <c r="V59" s="77">
        <f t="shared" si="6"/>
        <v>14</v>
      </c>
      <c r="W59" s="76">
        <f t="shared" si="19"/>
        <v>4.5528466187033878</v>
      </c>
      <c r="X59" s="76">
        <f t="shared" si="20"/>
        <v>2.8031186736023184</v>
      </c>
      <c r="Y59" s="76">
        <f t="shared" si="21"/>
        <v>1.4222445542435493</v>
      </c>
      <c r="Z59" s="76">
        <f t="shared" si="7"/>
        <v>3.4415283692996379</v>
      </c>
      <c r="AA59" s="76">
        <f t="shared" si="8"/>
        <v>1.0324585107898914</v>
      </c>
      <c r="AB59" s="76">
        <f t="shared" si="22"/>
        <v>3.4994828037640469</v>
      </c>
      <c r="AC59" s="76">
        <f t="shared" si="23"/>
        <v>2.1952587200950457</v>
      </c>
      <c r="AD59" s="76">
        <f t="shared" si="24"/>
        <v>15.518325182771083</v>
      </c>
      <c r="AE59" s="76">
        <f t="shared" si="25"/>
        <v>3.2622010547128535</v>
      </c>
      <c r="AF59" s="46">
        <f t="shared" si="26"/>
        <v>6.0000000000000005E-2</v>
      </c>
      <c r="AG59" s="76">
        <f t="shared" si="27"/>
        <v>0.42414112853447733</v>
      </c>
      <c r="AH59" s="76">
        <f t="shared" si="38"/>
        <v>0.82173251432240413</v>
      </c>
      <c r="AI59" s="50">
        <f t="shared" si="9"/>
        <v>334.59553588982249</v>
      </c>
      <c r="AJ59" s="76">
        <f t="shared" si="28"/>
        <v>0.17873411684763851</v>
      </c>
      <c r="AK59" s="76">
        <f t="shared" si="29"/>
        <v>0.28296826901575345</v>
      </c>
      <c r="AL59" s="76">
        <f t="shared" si="30"/>
        <v>2.8004986688494613</v>
      </c>
      <c r="AM59" s="76">
        <f t="shared" si="31"/>
        <v>1.8483291214406445</v>
      </c>
      <c r="AN59" s="76">
        <f t="shared" si="10"/>
        <v>33.387848430018849</v>
      </c>
      <c r="AO59" s="76">
        <f t="shared" si="32"/>
        <v>0.29503174288479944</v>
      </c>
      <c r="AP59" s="78">
        <f t="shared" si="11"/>
        <v>9.8504751134819752</v>
      </c>
      <c r="AQ59" s="78">
        <f t="shared" si="33"/>
        <v>0.36040568983250898</v>
      </c>
      <c r="AR59" s="78">
        <f t="shared" si="34"/>
        <v>13.311452856056723</v>
      </c>
      <c r="AS59" s="78">
        <f t="shared" si="35"/>
        <v>29.285196283324794</v>
      </c>
      <c r="AT59" s="78">
        <f t="shared" si="36"/>
        <v>27.331630413659056</v>
      </c>
      <c r="AU59" s="78">
        <f t="shared" si="37"/>
        <v>60.12958691004993</v>
      </c>
      <c r="AV59" s="78">
        <f t="shared" si="12"/>
        <v>8.1994891240977168</v>
      </c>
      <c r="AW59" s="79">
        <f t="shared" si="13"/>
        <v>1623.4490532995901</v>
      </c>
      <c r="AX59" s="79">
        <f t="shared" si="14"/>
        <v>16234.4905329959</v>
      </c>
      <c r="AY59" s="30"/>
      <c r="AZ59" s="1"/>
      <c r="BA59" s="55"/>
    </row>
    <row r="60" spans="1:53" x14ac:dyDescent="0.25">
      <c r="A60" s="47" t="s">
        <v>215</v>
      </c>
      <c r="B60" s="47"/>
      <c r="C60" s="48">
        <v>10</v>
      </c>
      <c r="D60" s="48">
        <v>37.1</v>
      </c>
      <c r="E60" s="48">
        <v>76.8</v>
      </c>
      <c r="F60" s="48">
        <v>3.5</v>
      </c>
      <c r="G60" s="48">
        <v>6.5</v>
      </c>
      <c r="H60" s="80">
        <f>'Fiber_Ash Inputs'!V33</f>
        <v>35.6</v>
      </c>
      <c r="I60" s="80">
        <f>'Fiber_Ash Inputs'!W33</f>
        <v>64.2</v>
      </c>
      <c r="J60" s="80">
        <f>'Fiber_Ash Inputs'!X33</f>
        <v>7.9</v>
      </c>
      <c r="K60" s="80">
        <f>'Fiber_Ash Inputs'!U33</f>
        <v>3.8</v>
      </c>
      <c r="L60" s="76">
        <f t="shared" si="15"/>
        <v>24.35079535546226</v>
      </c>
      <c r="M60" s="76">
        <f t="shared" si="16"/>
        <v>94.616843393682686</v>
      </c>
      <c r="N60" s="76">
        <f t="shared" si="2"/>
        <v>22.191011235955056</v>
      </c>
      <c r="O60" s="76">
        <f t="shared" si="17"/>
        <v>22.191011235955056</v>
      </c>
      <c r="P60" s="76">
        <f>(100*((LN((100-O60)-I60)-4.6052)/-'Fiber_Ash Inputs'!$D$17))*'Fiber_Ash Inputs'!$C$17</f>
        <v>7.3869240261072449</v>
      </c>
      <c r="Q60" s="76">
        <f t="shared" si="18"/>
        <v>58.830414718402729</v>
      </c>
      <c r="R60" s="76">
        <f>IF('Fiber_Ash Inputs'!$B$11=30,I60,IF('Fiber_Ash Inputs'!$B$11=48,I60*0.926))</f>
        <v>64.2</v>
      </c>
      <c r="S60" s="76">
        <f t="shared" si="3"/>
        <v>5.0049999999999999</v>
      </c>
      <c r="T60" s="76">
        <f t="shared" si="4"/>
        <v>1.5014999999999998</v>
      </c>
      <c r="U60" s="46">
        <f t="shared" si="5"/>
        <v>2.5</v>
      </c>
      <c r="V60" s="77">
        <f t="shared" si="6"/>
        <v>14.5</v>
      </c>
      <c r="W60" s="76">
        <f t="shared" si="19"/>
        <v>4.5118491730828989</v>
      </c>
      <c r="X60" s="76">
        <f t="shared" si="20"/>
        <v>2.7715506404745418</v>
      </c>
      <c r="Y60" s="76">
        <f t="shared" si="21"/>
        <v>1.4127741443052166</v>
      </c>
      <c r="Z60" s="76">
        <f t="shared" si="7"/>
        <v>3.4314501192996376</v>
      </c>
      <c r="AA60" s="76">
        <f t="shared" si="8"/>
        <v>1.0294350357898912</v>
      </c>
      <c r="AB60" s="76">
        <f t="shared" si="22"/>
        <v>3.4964593287640469</v>
      </c>
      <c r="AC60" s="76">
        <f t="shared" si="23"/>
        <v>2.1952587200950457</v>
      </c>
      <c r="AD60" s="76">
        <f t="shared" si="24"/>
        <v>15.518325182771083</v>
      </c>
      <c r="AE60" s="76">
        <f t="shared" si="25"/>
        <v>3.2591775797128535</v>
      </c>
      <c r="AF60" s="46">
        <f t="shared" si="26"/>
        <v>6.0000000000000005E-2</v>
      </c>
      <c r="AG60" s="76">
        <f t="shared" si="27"/>
        <v>0.42414112853447733</v>
      </c>
      <c r="AH60" s="76">
        <f t="shared" si="38"/>
        <v>0.82010357933064171</v>
      </c>
      <c r="AI60" s="50">
        <f t="shared" si="9"/>
        <v>328.029384999245</v>
      </c>
      <c r="AJ60" s="76">
        <f t="shared" si="28"/>
        <v>0.17522661284763852</v>
      </c>
      <c r="AK60" s="76">
        <f t="shared" si="29"/>
        <v>0.28296826901575345</v>
      </c>
      <c r="AL60" s="76">
        <f t="shared" si="30"/>
        <v>2.8009826978494612</v>
      </c>
      <c r="AM60" s="76">
        <f t="shared" si="31"/>
        <v>1.8486485805806445</v>
      </c>
      <c r="AN60" s="76">
        <f t="shared" si="10"/>
        <v>33.396579769165591</v>
      </c>
      <c r="AO60" s="76">
        <f t="shared" si="32"/>
        <v>0.29442213936856604</v>
      </c>
      <c r="AP60" s="78">
        <f t="shared" si="11"/>
        <v>9.8326924632307051</v>
      </c>
      <c r="AQ60" s="78">
        <f t="shared" si="33"/>
        <v>0.35975506453200062</v>
      </c>
      <c r="AR60" s="78">
        <f t="shared" si="34"/>
        <v>13.287422247609062</v>
      </c>
      <c r="AS60" s="78">
        <f t="shared" si="35"/>
        <v>29.232328944739937</v>
      </c>
      <c r="AT60" s="78">
        <f t="shared" si="36"/>
        <v>27.331630413659056</v>
      </c>
      <c r="AU60" s="78">
        <f t="shared" si="37"/>
        <v>60.12958691004993</v>
      </c>
      <c r="AV60" s="78">
        <f t="shared" si="12"/>
        <v>8.1994891240977168</v>
      </c>
      <c r="AW60" s="79">
        <f t="shared" si="13"/>
        <v>1620.5183087027058</v>
      </c>
      <c r="AX60" s="79">
        <f t="shared" si="14"/>
        <v>16205.183087027057</v>
      </c>
      <c r="AY60" s="30"/>
      <c r="AZ60" s="1"/>
      <c r="BA60" s="55"/>
    </row>
    <row r="61" spans="1:53" x14ac:dyDescent="0.25">
      <c r="A61" s="47" t="s">
        <v>216</v>
      </c>
      <c r="B61" s="47"/>
      <c r="C61" s="48">
        <v>10</v>
      </c>
      <c r="D61" s="48">
        <v>37.1</v>
      </c>
      <c r="E61" s="48">
        <v>76.8</v>
      </c>
      <c r="F61" s="48">
        <v>3.5</v>
      </c>
      <c r="G61" s="48">
        <v>7.4</v>
      </c>
      <c r="H61" s="80">
        <f>'Fiber_Ash Inputs'!V34</f>
        <v>35.6</v>
      </c>
      <c r="I61" s="80">
        <f>'Fiber_Ash Inputs'!W34</f>
        <v>64.2</v>
      </c>
      <c r="J61" s="80">
        <f>'Fiber_Ash Inputs'!X34</f>
        <v>7.9</v>
      </c>
      <c r="K61" s="80">
        <f>'Fiber_Ash Inputs'!U34</f>
        <v>4.5</v>
      </c>
      <c r="L61" s="76">
        <f t="shared" si="15"/>
        <v>24.35079535546226</v>
      </c>
      <c r="M61" s="76">
        <f t="shared" si="16"/>
        <v>94.616843393682686</v>
      </c>
      <c r="N61" s="76">
        <f t="shared" si="2"/>
        <v>22.191011235955056</v>
      </c>
      <c r="O61" s="76">
        <f t="shared" si="17"/>
        <v>22.191011235955056</v>
      </c>
      <c r="P61" s="76">
        <f>(100*((LN((100-O61)-I61)-4.6052)/-'Fiber_Ash Inputs'!$D$17))*'Fiber_Ash Inputs'!$C$17</f>
        <v>7.3869240261072449</v>
      </c>
      <c r="Q61" s="76">
        <f t="shared" si="18"/>
        <v>58.830414718402729</v>
      </c>
      <c r="R61" s="76">
        <f>IF('Fiber_Ash Inputs'!$B$11=30,I61,IF('Fiber_Ash Inputs'!$B$11=48,I61*0.926))</f>
        <v>64.2</v>
      </c>
      <c r="S61" s="76">
        <f t="shared" si="3"/>
        <v>5.6980000000000004</v>
      </c>
      <c r="T61" s="76">
        <f t="shared" si="4"/>
        <v>1.7094</v>
      </c>
      <c r="U61" s="46">
        <f t="shared" si="5"/>
        <v>2.5</v>
      </c>
      <c r="V61" s="77">
        <f t="shared" si="6"/>
        <v>12.899999999999997</v>
      </c>
      <c r="W61" s="76">
        <f t="shared" si="19"/>
        <v>4.5856445751997779</v>
      </c>
      <c r="X61" s="76">
        <f t="shared" si="20"/>
        <v>2.8283731001045389</v>
      </c>
      <c r="Y61" s="76">
        <f t="shared" si="21"/>
        <v>1.4298208821942155</v>
      </c>
      <c r="Z61" s="76">
        <f t="shared" si="7"/>
        <v>3.4241109692996377</v>
      </c>
      <c r="AA61" s="76">
        <f t="shared" si="8"/>
        <v>1.0272332907898913</v>
      </c>
      <c r="AB61" s="76">
        <f t="shared" si="22"/>
        <v>3.494257583764047</v>
      </c>
      <c r="AC61" s="76">
        <f t="shared" si="23"/>
        <v>2.1952587200950457</v>
      </c>
      <c r="AD61" s="76">
        <f t="shared" si="24"/>
        <v>15.518325182771083</v>
      </c>
      <c r="AE61" s="76">
        <f t="shared" si="25"/>
        <v>3.2569758347128537</v>
      </c>
      <c r="AF61" s="46">
        <f t="shared" si="26"/>
        <v>6.0000000000000005E-2</v>
      </c>
      <c r="AG61" s="76">
        <f t="shared" si="27"/>
        <v>0.42414112853447733</v>
      </c>
      <c r="AH61" s="76">
        <f t="shared" si="38"/>
        <v>0.82301469114619663</v>
      </c>
      <c r="AI61" s="50">
        <f t="shared" si="9"/>
        <v>339.84845660228433</v>
      </c>
      <c r="AJ61" s="76">
        <f t="shared" si="28"/>
        <v>0.18154012004763848</v>
      </c>
      <c r="AK61" s="76">
        <f t="shared" si="29"/>
        <v>0.28296826901575345</v>
      </c>
      <c r="AL61" s="76">
        <f t="shared" si="30"/>
        <v>2.7924674456494616</v>
      </c>
      <c r="AM61" s="76">
        <f t="shared" si="31"/>
        <v>1.8430285141286447</v>
      </c>
      <c r="AN61" s="76">
        <f t="shared" si="10"/>
        <v>33.24297418999933</v>
      </c>
      <c r="AO61" s="76">
        <f t="shared" si="32"/>
        <v>0.29397755207369286</v>
      </c>
      <c r="AP61" s="78">
        <f t="shared" si="11"/>
        <v>9.7726881760249551</v>
      </c>
      <c r="AQ61" s="78">
        <f t="shared" si="33"/>
        <v>0.35755964895314218</v>
      </c>
      <c r="AR61" s="78">
        <f t="shared" si="34"/>
        <v>13.206335373006697</v>
      </c>
      <c r="AS61" s="78">
        <f t="shared" si="35"/>
        <v>29.053937820614735</v>
      </c>
      <c r="AT61" s="78">
        <f t="shared" si="36"/>
        <v>27.331630413659056</v>
      </c>
      <c r="AU61" s="78">
        <f t="shared" si="37"/>
        <v>60.12958691004993</v>
      </c>
      <c r="AV61" s="78">
        <f t="shared" si="12"/>
        <v>8.1994891240977168</v>
      </c>
      <c r="AW61" s="79">
        <f t="shared" si="13"/>
        <v>1610.6290493384784</v>
      </c>
      <c r="AX61" s="79">
        <f t="shared" si="14"/>
        <v>16106.290493384784</v>
      </c>
      <c r="AY61" s="30"/>
      <c r="AZ61" s="1"/>
      <c r="BA61" s="55"/>
    </row>
    <row r="62" spans="1:53" x14ac:dyDescent="0.25">
      <c r="A62" s="47" t="s">
        <v>217</v>
      </c>
      <c r="B62" s="47"/>
      <c r="C62" s="48">
        <v>10</v>
      </c>
      <c r="D62" s="48">
        <v>37.1</v>
      </c>
      <c r="E62" s="48">
        <v>76.8</v>
      </c>
      <c r="F62" s="48">
        <v>3.5</v>
      </c>
      <c r="G62" s="48">
        <v>7.4</v>
      </c>
      <c r="H62" s="80">
        <f>'Fiber_Ash Inputs'!V35</f>
        <v>35.6</v>
      </c>
      <c r="I62" s="80">
        <f>'Fiber_Ash Inputs'!W35</f>
        <v>64.2</v>
      </c>
      <c r="J62" s="80">
        <f>'Fiber_Ash Inputs'!X35</f>
        <v>7.9</v>
      </c>
      <c r="K62" s="80">
        <f>'Fiber_Ash Inputs'!U35</f>
        <v>5</v>
      </c>
      <c r="L62" s="76">
        <f t="shared" si="15"/>
        <v>24.35079535546226</v>
      </c>
      <c r="M62" s="76">
        <f t="shared" si="16"/>
        <v>94.616843393682686</v>
      </c>
      <c r="N62" s="76">
        <f t="shared" si="2"/>
        <v>22.191011235955056</v>
      </c>
      <c r="O62" s="76">
        <f t="shared" si="17"/>
        <v>22.191011235955056</v>
      </c>
      <c r="P62" s="76">
        <f>(100*((LN((100-O62)-I62)-4.6052)/-'Fiber_Ash Inputs'!$D$17))*'Fiber_Ash Inputs'!$C$17</f>
        <v>7.3869240261072449</v>
      </c>
      <c r="Q62" s="76">
        <f t="shared" si="18"/>
        <v>58.830414718402729</v>
      </c>
      <c r="R62" s="76">
        <f>IF('Fiber_Ash Inputs'!$B$11=30,I62,IF('Fiber_Ash Inputs'!$B$11=48,I62*0.926))</f>
        <v>64.2</v>
      </c>
      <c r="S62" s="76">
        <f t="shared" si="3"/>
        <v>5.6980000000000004</v>
      </c>
      <c r="T62" s="76">
        <f t="shared" si="4"/>
        <v>1.7094</v>
      </c>
      <c r="U62" s="46">
        <f t="shared" si="5"/>
        <v>2.5</v>
      </c>
      <c r="V62" s="77">
        <f t="shared" si="6"/>
        <v>12.399999999999997</v>
      </c>
      <c r="W62" s="76">
        <f t="shared" si="19"/>
        <v>4.5856445751997779</v>
      </c>
      <c r="X62" s="76">
        <f t="shared" si="20"/>
        <v>2.8283731001045389</v>
      </c>
      <c r="Y62" s="76">
        <f t="shared" si="21"/>
        <v>1.4298208821942155</v>
      </c>
      <c r="Z62" s="76">
        <f t="shared" si="7"/>
        <v>3.4059109692996374</v>
      </c>
      <c r="AA62" s="76">
        <f t="shared" si="8"/>
        <v>1.0217732907898911</v>
      </c>
      <c r="AB62" s="76">
        <f t="shared" si="22"/>
        <v>3.4887975837640468</v>
      </c>
      <c r="AC62" s="76">
        <f t="shared" si="23"/>
        <v>2.1952587200950457</v>
      </c>
      <c r="AD62" s="76">
        <f t="shared" si="24"/>
        <v>15.518325182771083</v>
      </c>
      <c r="AE62" s="76">
        <f t="shared" si="25"/>
        <v>3.2515158347128534</v>
      </c>
      <c r="AF62" s="46">
        <f t="shared" si="26"/>
        <v>6.0000000000000005E-2</v>
      </c>
      <c r="AG62" s="76">
        <f t="shared" si="27"/>
        <v>0.42414112853447733</v>
      </c>
      <c r="AH62" s="76">
        <f t="shared" si="38"/>
        <v>0.82301469114619663</v>
      </c>
      <c r="AI62" s="50">
        <f t="shared" si="9"/>
        <v>339.84845660228433</v>
      </c>
      <c r="AJ62" s="76">
        <f t="shared" si="28"/>
        <v>0.18154012004763848</v>
      </c>
      <c r="AK62" s="76">
        <f t="shared" si="29"/>
        <v>0.28296826901575345</v>
      </c>
      <c r="AL62" s="76">
        <f t="shared" si="30"/>
        <v>2.7870074456494613</v>
      </c>
      <c r="AM62" s="76">
        <f t="shared" si="31"/>
        <v>1.8394249141286445</v>
      </c>
      <c r="AN62" s="76">
        <f t="shared" si="10"/>
        <v>33.144481926640665</v>
      </c>
      <c r="AO62" s="76">
        <f t="shared" si="32"/>
        <v>0.29287262051113461</v>
      </c>
      <c r="AP62" s="78">
        <f t="shared" si="11"/>
        <v>9.707111277339191</v>
      </c>
      <c r="AQ62" s="78">
        <f t="shared" si="33"/>
        <v>0.35516034464186363</v>
      </c>
      <c r="AR62" s="78">
        <f t="shared" si="34"/>
        <v>13.117717942350259</v>
      </c>
      <c r="AS62" s="78">
        <f t="shared" si="35"/>
        <v>28.858979473170571</v>
      </c>
      <c r="AT62" s="78">
        <f t="shared" si="36"/>
        <v>27.331630413659056</v>
      </c>
      <c r="AU62" s="78">
        <f t="shared" si="37"/>
        <v>60.12958691004993</v>
      </c>
      <c r="AV62" s="78">
        <f t="shared" si="12"/>
        <v>8.1994891240977168</v>
      </c>
      <c r="AW62" s="79">
        <f t="shared" si="13"/>
        <v>1599.821372260647</v>
      </c>
      <c r="AX62" s="79">
        <f t="shared" si="14"/>
        <v>15998.21372260647</v>
      </c>
      <c r="AY62" s="30"/>
      <c r="AZ62" s="1"/>
      <c r="BA62" s="55"/>
    </row>
    <row r="63" spans="1:53" x14ac:dyDescent="0.25">
      <c r="A63" s="47" t="s">
        <v>218</v>
      </c>
      <c r="B63" s="47"/>
      <c r="C63" s="48">
        <v>10</v>
      </c>
      <c r="D63" s="48">
        <v>37.1</v>
      </c>
      <c r="E63" s="48">
        <v>76.8</v>
      </c>
      <c r="F63" s="48">
        <v>3.5</v>
      </c>
      <c r="G63" s="48">
        <v>7.4</v>
      </c>
      <c r="H63" s="80">
        <f>'Fiber_Ash Inputs'!V36</f>
        <v>35.6</v>
      </c>
      <c r="I63" s="80">
        <f>'Fiber_Ash Inputs'!W36</f>
        <v>64.2</v>
      </c>
      <c r="J63" s="80">
        <f>'Fiber_Ash Inputs'!X36</f>
        <v>7.9</v>
      </c>
      <c r="K63" s="80">
        <f>'Fiber_Ash Inputs'!U36</f>
        <v>3.5</v>
      </c>
      <c r="L63" s="76">
        <f t="shared" si="15"/>
        <v>24.35079535546226</v>
      </c>
      <c r="M63" s="76">
        <f t="shared" si="16"/>
        <v>94.616843393682686</v>
      </c>
      <c r="N63" s="76">
        <f t="shared" si="2"/>
        <v>22.191011235955056</v>
      </c>
      <c r="O63" s="76">
        <f t="shared" si="17"/>
        <v>22.191011235955056</v>
      </c>
      <c r="P63" s="76">
        <f>(100*((LN((100-O63)-I63)-4.6052)/-'Fiber_Ash Inputs'!$D$17))*'Fiber_Ash Inputs'!$C$17</f>
        <v>7.3869240261072449</v>
      </c>
      <c r="Q63" s="76">
        <f t="shared" si="18"/>
        <v>58.830414718402729</v>
      </c>
      <c r="R63" s="76">
        <f>IF('Fiber_Ash Inputs'!$B$11=30,I63,IF('Fiber_Ash Inputs'!$B$11=48,I63*0.926))</f>
        <v>64.2</v>
      </c>
      <c r="S63" s="76">
        <f t="shared" si="3"/>
        <v>5.6980000000000004</v>
      </c>
      <c r="T63" s="76">
        <f t="shared" si="4"/>
        <v>1.7094</v>
      </c>
      <c r="U63" s="46">
        <f t="shared" si="5"/>
        <v>2.5</v>
      </c>
      <c r="V63" s="77">
        <f t="shared" si="6"/>
        <v>13.899999999999997</v>
      </c>
      <c r="W63" s="76">
        <f t="shared" si="19"/>
        <v>4.5856445751997779</v>
      </c>
      <c r="X63" s="76">
        <f t="shared" si="20"/>
        <v>2.8283731001045389</v>
      </c>
      <c r="Y63" s="76">
        <f t="shared" si="21"/>
        <v>1.4298208821942155</v>
      </c>
      <c r="Z63" s="76">
        <f t="shared" si="7"/>
        <v>3.4605109692996376</v>
      </c>
      <c r="AA63" s="76">
        <f t="shared" si="8"/>
        <v>1.0381532907898912</v>
      </c>
      <c r="AB63" s="76">
        <f t="shared" si="22"/>
        <v>3.5051775837640466</v>
      </c>
      <c r="AC63" s="76">
        <f t="shared" si="23"/>
        <v>2.1952587200950457</v>
      </c>
      <c r="AD63" s="76">
        <f t="shared" si="24"/>
        <v>15.518325182771083</v>
      </c>
      <c r="AE63" s="76">
        <f t="shared" si="25"/>
        <v>3.2678958347128533</v>
      </c>
      <c r="AF63" s="46">
        <f t="shared" si="26"/>
        <v>6.0000000000000005E-2</v>
      </c>
      <c r="AG63" s="76">
        <f t="shared" si="27"/>
        <v>0.42414112853447733</v>
      </c>
      <c r="AH63" s="76">
        <f t="shared" si="38"/>
        <v>0.82301469114619663</v>
      </c>
      <c r="AI63" s="50">
        <f t="shared" si="9"/>
        <v>339.84845660228433</v>
      </c>
      <c r="AJ63" s="76">
        <f t="shared" si="28"/>
        <v>0.18154012004763848</v>
      </c>
      <c r="AK63" s="76">
        <f t="shared" si="29"/>
        <v>0.28296826901575345</v>
      </c>
      <c r="AL63" s="76">
        <f t="shared" si="30"/>
        <v>2.8033874456494612</v>
      </c>
      <c r="AM63" s="76">
        <f t="shared" si="31"/>
        <v>1.8502357141286445</v>
      </c>
      <c r="AN63" s="76">
        <f t="shared" si="10"/>
        <v>33.439958716716646</v>
      </c>
      <c r="AO63" s="76">
        <f t="shared" si="32"/>
        <v>0.29617708831604095</v>
      </c>
      <c r="AP63" s="78">
        <f t="shared" si="11"/>
        <v>9.904149606125749</v>
      </c>
      <c r="AQ63" s="78">
        <f t="shared" si="33"/>
        <v>0.36236951313289106</v>
      </c>
      <c r="AR63" s="78">
        <f t="shared" si="34"/>
        <v>13.383985954223986</v>
      </c>
      <c r="AS63" s="78">
        <f t="shared" si="35"/>
        <v>29.44476909929277</v>
      </c>
      <c r="AT63" s="78">
        <f t="shared" si="36"/>
        <v>27.331630413659056</v>
      </c>
      <c r="AU63" s="78">
        <f t="shared" si="37"/>
        <v>60.12958691004993</v>
      </c>
      <c r="AV63" s="78">
        <f t="shared" si="12"/>
        <v>8.1994891240977168</v>
      </c>
      <c r="AW63" s="79">
        <f t="shared" si="13"/>
        <v>1632.2951042022121</v>
      </c>
      <c r="AX63" s="79">
        <f t="shared" si="14"/>
        <v>16322.951042022121</v>
      </c>
      <c r="AY63" s="30"/>
      <c r="AZ63" s="1"/>
      <c r="BA63" s="55"/>
    </row>
    <row r="64" spans="1:53" x14ac:dyDescent="0.25">
      <c r="A64" s="47" t="s">
        <v>219</v>
      </c>
      <c r="B64" s="47"/>
      <c r="C64" s="48">
        <v>10</v>
      </c>
      <c r="D64" s="48">
        <v>37.1</v>
      </c>
      <c r="E64" s="48">
        <v>76.8</v>
      </c>
      <c r="F64" s="48">
        <v>3.5</v>
      </c>
      <c r="G64" s="48">
        <v>7.4</v>
      </c>
      <c r="H64" s="80">
        <f>'Fiber_Ash Inputs'!V37</f>
        <v>35.6</v>
      </c>
      <c r="I64" s="80">
        <f>'Fiber_Ash Inputs'!W37</f>
        <v>64.2</v>
      </c>
      <c r="J64" s="80">
        <f>'Fiber_Ash Inputs'!X37</f>
        <v>7.9</v>
      </c>
      <c r="K64" s="80">
        <f>'Fiber_Ash Inputs'!U37</f>
        <v>3</v>
      </c>
      <c r="L64" s="76">
        <f t="shared" si="15"/>
        <v>24.35079535546226</v>
      </c>
      <c r="M64" s="76">
        <f t="shared" si="16"/>
        <v>94.616843393682686</v>
      </c>
      <c r="N64" s="76">
        <f t="shared" si="2"/>
        <v>22.191011235955056</v>
      </c>
      <c r="O64" s="76">
        <f t="shared" si="17"/>
        <v>22.191011235955056</v>
      </c>
      <c r="P64" s="76">
        <f>(100*((LN((100-O64)-I64)-4.6052)/-'Fiber_Ash Inputs'!$D$17))*'Fiber_Ash Inputs'!$C$17</f>
        <v>7.3869240261072449</v>
      </c>
      <c r="Q64" s="76">
        <f t="shared" si="18"/>
        <v>58.830414718402729</v>
      </c>
      <c r="R64" s="76">
        <f>IF('Fiber_Ash Inputs'!$B$11=30,I64,IF('Fiber_Ash Inputs'!$B$11=48,I64*0.926))</f>
        <v>64.2</v>
      </c>
      <c r="S64" s="76">
        <f t="shared" si="3"/>
        <v>5.6980000000000004</v>
      </c>
      <c r="T64" s="76">
        <f t="shared" si="4"/>
        <v>1.7094</v>
      </c>
      <c r="U64" s="46">
        <f t="shared" si="5"/>
        <v>2.5</v>
      </c>
      <c r="V64" s="77">
        <f t="shared" si="6"/>
        <v>14.399999999999997</v>
      </c>
      <c r="W64" s="76">
        <f t="shared" si="19"/>
        <v>4.5856445751997779</v>
      </c>
      <c r="X64" s="76">
        <f t="shared" si="20"/>
        <v>2.8283731001045389</v>
      </c>
      <c r="Y64" s="76">
        <f t="shared" si="21"/>
        <v>1.4298208821942155</v>
      </c>
      <c r="Z64" s="76">
        <f t="shared" si="7"/>
        <v>3.4787109692996374</v>
      </c>
      <c r="AA64" s="76">
        <f t="shared" si="8"/>
        <v>1.0436132907898912</v>
      </c>
      <c r="AB64" s="76">
        <f t="shared" si="22"/>
        <v>3.5106375837640469</v>
      </c>
      <c r="AC64" s="76">
        <f t="shared" si="23"/>
        <v>2.1952587200950457</v>
      </c>
      <c r="AD64" s="76">
        <f t="shared" si="24"/>
        <v>15.518325182771083</v>
      </c>
      <c r="AE64" s="76">
        <f t="shared" si="25"/>
        <v>3.2733558347128535</v>
      </c>
      <c r="AF64" s="46">
        <f t="shared" si="26"/>
        <v>6.0000000000000005E-2</v>
      </c>
      <c r="AG64" s="76">
        <f t="shared" si="27"/>
        <v>0.42414112853447733</v>
      </c>
      <c r="AH64" s="76">
        <f t="shared" si="38"/>
        <v>0.82301469114619663</v>
      </c>
      <c r="AI64" s="50">
        <f t="shared" si="9"/>
        <v>339.84845660228433</v>
      </c>
      <c r="AJ64" s="76">
        <f t="shared" si="28"/>
        <v>0.18154012004763848</v>
      </c>
      <c r="AK64" s="76">
        <f t="shared" si="29"/>
        <v>0.28296826901575345</v>
      </c>
      <c r="AL64" s="76">
        <f t="shared" si="30"/>
        <v>2.8088474456494614</v>
      </c>
      <c r="AM64" s="76">
        <f t="shared" si="31"/>
        <v>1.8538393141286447</v>
      </c>
      <c r="AN64" s="76">
        <f t="shared" si="10"/>
        <v>33.538450980075311</v>
      </c>
      <c r="AO64" s="76">
        <f t="shared" si="32"/>
        <v>0.2972717251180757</v>
      </c>
      <c r="AP64" s="78">
        <f t="shared" si="11"/>
        <v>9.9700331806350047</v>
      </c>
      <c r="AQ64" s="78">
        <f t="shared" si="33"/>
        <v>0.36478003799043229</v>
      </c>
      <c r="AR64" s="78">
        <f t="shared" si="34"/>
        <v>13.473017811668925</v>
      </c>
      <c r="AS64" s="78">
        <f t="shared" si="35"/>
        <v>29.640639185671635</v>
      </c>
      <c r="AT64" s="78">
        <f t="shared" si="36"/>
        <v>27.331630413659056</v>
      </c>
      <c r="AU64" s="78">
        <f t="shared" si="37"/>
        <v>60.12958691004993</v>
      </c>
      <c r="AV64" s="78">
        <f t="shared" si="12"/>
        <v>8.1994891240977168</v>
      </c>
      <c r="AW64" s="79">
        <f t="shared" si="13"/>
        <v>1643.1533242812263</v>
      </c>
      <c r="AX64" s="79">
        <f t="shared" si="14"/>
        <v>16431.533242812264</v>
      </c>
      <c r="AY64" s="30"/>
      <c r="AZ64" s="1"/>
      <c r="BA64" s="55"/>
    </row>
    <row r="65" spans="1:53" x14ac:dyDescent="0.25">
      <c r="A65" s="47" t="s">
        <v>220</v>
      </c>
      <c r="B65" s="47"/>
      <c r="C65" s="48">
        <v>10</v>
      </c>
      <c r="D65" s="48">
        <v>37.1</v>
      </c>
      <c r="E65" s="48">
        <v>76.8</v>
      </c>
      <c r="F65" s="48">
        <v>3.5</v>
      </c>
      <c r="G65" s="48">
        <v>7.4</v>
      </c>
      <c r="H65" s="80">
        <f>'Fiber_Ash Inputs'!V38</f>
        <v>35.6</v>
      </c>
      <c r="I65" s="80">
        <f>'Fiber_Ash Inputs'!W38</f>
        <v>64.2</v>
      </c>
      <c r="J65" s="80">
        <f>'Fiber_Ash Inputs'!X38</f>
        <v>7.9</v>
      </c>
      <c r="K65" s="80">
        <f>'Fiber_Ash Inputs'!U38</f>
        <v>3</v>
      </c>
      <c r="L65" s="76">
        <f t="shared" si="15"/>
        <v>24.35079535546226</v>
      </c>
      <c r="M65" s="76">
        <f t="shared" si="16"/>
        <v>94.616843393682686</v>
      </c>
      <c r="N65" s="76">
        <f t="shared" si="2"/>
        <v>22.191011235955056</v>
      </c>
      <c r="O65" s="76">
        <f t="shared" si="17"/>
        <v>22.191011235955056</v>
      </c>
      <c r="P65" s="76">
        <f>(100*((LN((100-O65)-I65)-4.6052)/-'Fiber_Ash Inputs'!$D$17))*'Fiber_Ash Inputs'!$C$17</f>
        <v>7.3869240261072449</v>
      </c>
      <c r="Q65" s="76">
        <f t="shared" si="18"/>
        <v>58.830414718402729</v>
      </c>
      <c r="R65" s="76">
        <f>IF('Fiber_Ash Inputs'!$B$11=30,I65,IF('Fiber_Ash Inputs'!$B$11=48,I65*0.926))</f>
        <v>64.2</v>
      </c>
      <c r="S65" s="76">
        <f t="shared" si="3"/>
        <v>5.6980000000000004</v>
      </c>
      <c r="T65" s="76">
        <f t="shared" si="4"/>
        <v>1.7094</v>
      </c>
      <c r="U65" s="46">
        <f t="shared" si="5"/>
        <v>2.5</v>
      </c>
      <c r="V65" s="77">
        <f t="shared" si="6"/>
        <v>14.399999999999997</v>
      </c>
      <c r="W65" s="76">
        <f t="shared" si="19"/>
        <v>4.5856445751997779</v>
      </c>
      <c r="X65" s="76">
        <f t="shared" si="20"/>
        <v>2.8283731001045389</v>
      </c>
      <c r="Y65" s="76">
        <f t="shared" si="21"/>
        <v>1.4298208821942155</v>
      </c>
      <c r="Z65" s="76">
        <f t="shared" si="7"/>
        <v>3.4787109692996374</v>
      </c>
      <c r="AA65" s="76">
        <f t="shared" si="8"/>
        <v>1.0436132907898912</v>
      </c>
      <c r="AB65" s="76">
        <f t="shared" si="22"/>
        <v>3.5106375837640469</v>
      </c>
      <c r="AC65" s="76">
        <f t="shared" si="23"/>
        <v>2.1952587200950457</v>
      </c>
      <c r="AD65" s="76">
        <f t="shared" si="24"/>
        <v>15.518325182771083</v>
      </c>
      <c r="AE65" s="76">
        <f t="shared" si="25"/>
        <v>3.2733558347128535</v>
      </c>
      <c r="AF65" s="46">
        <f t="shared" si="26"/>
        <v>6.0000000000000005E-2</v>
      </c>
      <c r="AG65" s="76">
        <f t="shared" si="27"/>
        <v>0.42414112853447733</v>
      </c>
      <c r="AH65" s="76">
        <f t="shared" si="38"/>
        <v>0.82301469114619663</v>
      </c>
      <c r="AI65" s="50">
        <f t="shared" si="9"/>
        <v>339.84845660228433</v>
      </c>
      <c r="AJ65" s="76">
        <f t="shared" si="28"/>
        <v>0.18154012004763848</v>
      </c>
      <c r="AK65" s="76">
        <f t="shared" si="29"/>
        <v>0.28296826901575345</v>
      </c>
      <c r="AL65" s="76">
        <f t="shared" si="30"/>
        <v>2.8088474456494614</v>
      </c>
      <c r="AM65" s="76">
        <f t="shared" si="31"/>
        <v>1.8538393141286447</v>
      </c>
      <c r="AN65" s="76">
        <f t="shared" si="10"/>
        <v>33.538450980075311</v>
      </c>
      <c r="AO65" s="76">
        <f t="shared" si="32"/>
        <v>0.2972717251180757</v>
      </c>
      <c r="AP65" s="78">
        <f t="shared" si="11"/>
        <v>9.9700331806350047</v>
      </c>
      <c r="AQ65" s="78">
        <f t="shared" si="33"/>
        <v>0.36478003799043229</v>
      </c>
      <c r="AR65" s="78">
        <f t="shared" si="34"/>
        <v>13.473017811668925</v>
      </c>
      <c r="AS65" s="78">
        <f t="shared" si="35"/>
        <v>29.640639185671635</v>
      </c>
      <c r="AT65" s="78">
        <f t="shared" si="36"/>
        <v>27.331630413659056</v>
      </c>
      <c r="AU65" s="78">
        <f t="shared" si="37"/>
        <v>60.12958691004993</v>
      </c>
      <c r="AV65" s="78">
        <f t="shared" si="12"/>
        <v>8.1994891240977168</v>
      </c>
      <c r="AW65" s="79">
        <f t="shared" si="13"/>
        <v>1643.1533242812263</v>
      </c>
      <c r="AX65" s="79">
        <f t="shared" si="14"/>
        <v>16431.533242812264</v>
      </c>
      <c r="AY65" s="30"/>
      <c r="AZ65" s="1"/>
      <c r="BA65" s="55"/>
    </row>
    <row r="66" spans="1:53" x14ac:dyDescent="0.25">
      <c r="A66" s="47" t="s">
        <v>221</v>
      </c>
      <c r="B66" s="47"/>
      <c r="C66" s="48">
        <v>10</v>
      </c>
      <c r="D66" s="48">
        <v>37.1</v>
      </c>
      <c r="E66" s="48">
        <v>76.8</v>
      </c>
      <c r="F66" s="48">
        <v>3.5</v>
      </c>
      <c r="G66" s="48">
        <v>7.4</v>
      </c>
      <c r="H66" s="80">
        <f>'Fiber_Ash Inputs'!V39</f>
        <v>35.6</v>
      </c>
      <c r="I66" s="80">
        <f>'Fiber_Ash Inputs'!W39</f>
        <v>64.2</v>
      </c>
      <c r="J66" s="80">
        <f>'Fiber_Ash Inputs'!X39</f>
        <v>7.9</v>
      </c>
      <c r="K66" s="80">
        <f>'Fiber_Ash Inputs'!U39</f>
        <v>3</v>
      </c>
      <c r="L66" s="76">
        <f t="shared" si="15"/>
        <v>24.35079535546226</v>
      </c>
      <c r="M66" s="76">
        <f t="shared" si="16"/>
        <v>94.616843393682686</v>
      </c>
      <c r="N66" s="76">
        <f t="shared" si="2"/>
        <v>22.191011235955056</v>
      </c>
      <c r="O66" s="76">
        <f t="shared" si="17"/>
        <v>22.191011235955056</v>
      </c>
      <c r="P66" s="76">
        <f>(100*((LN((100-O66)-I66)-4.6052)/-'Fiber_Ash Inputs'!$D$17))*'Fiber_Ash Inputs'!$C$17</f>
        <v>7.3869240261072449</v>
      </c>
      <c r="Q66" s="76">
        <f t="shared" si="18"/>
        <v>58.830414718402729</v>
      </c>
      <c r="R66" s="76">
        <f>IF('Fiber_Ash Inputs'!$B$11=30,I66,IF('Fiber_Ash Inputs'!$B$11=48,I66*0.926))</f>
        <v>64.2</v>
      </c>
      <c r="S66" s="76">
        <f t="shared" si="3"/>
        <v>5.6980000000000004</v>
      </c>
      <c r="T66" s="76">
        <f t="shared" si="4"/>
        <v>1.7094</v>
      </c>
      <c r="U66" s="46">
        <f t="shared" si="5"/>
        <v>2.5</v>
      </c>
      <c r="V66" s="77">
        <f t="shared" si="6"/>
        <v>14.399999999999997</v>
      </c>
      <c r="W66" s="76">
        <f t="shared" si="19"/>
        <v>4.5856445751997779</v>
      </c>
      <c r="X66" s="76">
        <f t="shared" si="20"/>
        <v>2.8283731001045389</v>
      </c>
      <c r="Y66" s="76">
        <f t="shared" si="21"/>
        <v>1.4298208821942155</v>
      </c>
      <c r="Z66" s="76">
        <f t="shared" si="7"/>
        <v>3.4787109692996374</v>
      </c>
      <c r="AA66" s="76">
        <f t="shared" si="8"/>
        <v>1.0436132907898912</v>
      </c>
      <c r="AB66" s="76">
        <f t="shared" si="22"/>
        <v>3.5106375837640469</v>
      </c>
      <c r="AC66" s="76">
        <f t="shared" si="23"/>
        <v>2.1952587200950457</v>
      </c>
      <c r="AD66" s="76">
        <f t="shared" si="24"/>
        <v>15.518325182771083</v>
      </c>
      <c r="AE66" s="76">
        <f t="shared" si="25"/>
        <v>3.2733558347128535</v>
      </c>
      <c r="AF66" s="46">
        <f t="shared" si="26"/>
        <v>6.0000000000000005E-2</v>
      </c>
      <c r="AG66" s="76">
        <f t="shared" si="27"/>
        <v>0.42414112853447733</v>
      </c>
      <c r="AH66" s="76">
        <f t="shared" si="38"/>
        <v>0.82301469114619663</v>
      </c>
      <c r="AI66" s="50">
        <f t="shared" si="9"/>
        <v>339.84845660228433</v>
      </c>
      <c r="AJ66" s="76">
        <f t="shared" si="28"/>
        <v>0.18154012004763848</v>
      </c>
      <c r="AK66" s="76">
        <f t="shared" si="29"/>
        <v>0.28296826901575345</v>
      </c>
      <c r="AL66" s="76">
        <f t="shared" si="30"/>
        <v>2.8088474456494614</v>
      </c>
      <c r="AM66" s="76">
        <f t="shared" si="31"/>
        <v>1.8538393141286447</v>
      </c>
      <c r="AN66" s="76">
        <f t="shared" si="10"/>
        <v>33.538450980075311</v>
      </c>
      <c r="AO66" s="76">
        <f t="shared" si="32"/>
        <v>0.2972717251180757</v>
      </c>
      <c r="AP66" s="78">
        <f t="shared" si="11"/>
        <v>9.9700331806350047</v>
      </c>
      <c r="AQ66" s="78">
        <f t="shared" si="33"/>
        <v>0.36478003799043229</v>
      </c>
      <c r="AR66" s="78">
        <f t="shared" si="34"/>
        <v>13.473017811668925</v>
      </c>
      <c r="AS66" s="78">
        <f t="shared" si="35"/>
        <v>29.640639185671635</v>
      </c>
      <c r="AT66" s="78">
        <f t="shared" si="36"/>
        <v>27.331630413659056</v>
      </c>
      <c r="AU66" s="78">
        <f t="shared" si="37"/>
        <v>60.12958691004993</v>
      </c>
      <c r="AV66" s="78">
        <f t="shared" si="12"/>
        <v>8.1994891240977168</v>
      </c>
      <c r="AW66" s="79">
        <f t="shared" si="13"/>
        <v>1643.1533242812263</v>
      </c>
      <c r="AX66" s="79">
        <f t="shared" si="14"/>
        <v>16431.533242812264</v>
      </c>
      <c r="AY66" s="30"/>
      <c r="AZ66" s="1"/>
    </row>
    <row r="67" spans="1:53" x14ac:dyDescent="0.25">
      <c r="A67" s="47" t="s">
        <v>222</v>
      </c>
      <c r="B67" s="47"/>
      <c r="C67" s="48">
        <v>10</v>
      </c>
      <c r="D67" s="48">
        <v>37.1</v>
      </c>
      <c r="E67" s="48">
        <v>76.8</v>
      </c>
      <c r="F67" s="48">
        <v>3.5</v>
      </c>
      <c r="G67" s="48">
        <v>7.4</v>
      </c>
      <c r="H67" s="80">
        <f>'Fiber_Ash Inputs'!V40</f>
        <v>35.6</v>
      </c>
      <c r="I67" s="80">
        <f>'Fiber_Ash Inputs'!W40</f>
        <v>64.2</v>
      </c>
      <c r="J67" s="80">
        <f>'Fiber_Ash Inputs'!X40</f>
        <v>7.9</v>
      </c>
      <c r="K67" s="80">
        <f>'Fiber_Ash Inputs'!U40</f>
        <v>3</v>
      </c>
      <c r="L67" s="76">
        <f t="shared" si="15"/>
        <v>24.35079535546226</v>
      </c>
      <c r="M67" s="76">
        <f t="shared" si="16"/>
        <v>94.616843393682686</v>
      </c>
      <c r="N67" s="76">
        <f t="shared" si="2"/>
        <v>22.191011235955056</v>
      </c>
      <c r="O67" s="76">
        <f t="shared" si="17"/>
        <v>22.191011235955056</v>
      </c>
      <c r="P67" s="76">
        <f>(100*((LN((100-O67)-I67)-4.6052)/-'Fiber_Ash Inputs'!$D$17))*'Fiber_Ash Inputs'!$C$17</f>
        <v>7.3869240261072449</v>
      </c>
      <c r="Q67" s="76">
        <f t="shared" si="18"/>
        <v>58.830414718402729</v>
      </c>
      <c r="R67" s="76">
        <f>IF('Fiber_Ash Inputs'!$B$11=30,I67,IF('Fiber_Ash Inputs'!$B$11=48,I67*0.926))</f>
        <v>64.2</v>
      </c>
      <c r="S67" s="76">
        <f t="shared" si="3"/>
        <v>5.6980000000000004</v>
      </c>
      <c r="T67" s="76">
        <f t="shared" si="4"/>
        <v>1.7094</v>
      </c>
      <c r="U67" s="46">
        <f t="shared" si="5"/>
        <v>2.5</v>
      </c>
      <c r="V67" s="77">
        <f t="shared" si="6"/>
        <v>14.399999999999997</v>
      </c>
      <c r="W67" s="76">
        <f t="shared" si="19"/>
        <v>4.5856445751997779</v>
      </c>
      <c r="X67" s="76">
        <f t="shared" si="20"/>
        <v>2.8283731001045389</v>
      </c>
      <c r="Y67" s="76">
        <f t="shared" si="21"/>
        <v>1.4298208821942155</v>
      </c>
      <c r="Z67" s="76">
        <f t="shared" si="7"/>
        <v>3.4787109692996374</v>
      </c>
      <c r="AA67" s="76">
        <f t="shared" si="8"/>
        <v>1.0436132907898912</v>
      </c>
      <c r="AB67" s="76">
        <f t="shared" si="22"/>
        <v>3.5106375837640469</v>
      </c>
      <c r="AC67" s="76">
        <f t="shared" si="23"/>
        <v>2.1952587200950457</v>
      </c>
      <c r="AD67" s="76">
        <f t="shared" si="24"/>
        <v>15.518325182771083</v>
      </c>
      <c r="AE67" s="76">
        <f t="shared" si="25"/>
        <v>3.2733558347128535</v>
      </c>
      <c r="AF67" s="46">
        <f t="shared" si="26"/>
        <v>6.0000000000000005E-2</v>
      </c>
      <c r="AG67" s="76">
        <f t="shared" si="27"/>
        <v>0.42414112853447733</v>
      </c>
      <c r="AH67" s="76">
        <f t="shared" si="38"/>
        <v>0.82301469114619663</v>
      </c>
      <c r="AI67" s="50">
        <f t="shared" si="9"/>
        <v>339.84845660228433</v>
      </c>
      <c r="AJ67" s="76">
        <f t="shared" si="28"/>
        <v>0.18154012004763848</v>
      </c>
      <c r="AK67" s="76">
        <f t="shared" si="29"/>
        <v>0.28296826901575345</v>
      </c>
      <c r="AL67" s="76">
        <f t="shared" si="30"/>
        <v>2.8088474456494614</v>
      </c>
      <c r="AM67" s="76">
        <f t="shared" si="31"/>
        <v>1.8538393141286447</v>
      </c>
      <c r="AN67" s="76">
        <f t="shared" si="10"/>
        <v>33.538450980075311</v>
      </c>
      <c r="AO67" s="76">
        <f t="shared" si="32"/>
        <v>0.2972717251180757</v>
      </c>
      <c r="AP67" s="78">
        <f t="shared" si="11"/>
        <v>9.9700331806350047</v>
      </c>
      <c r="AQ67" s="78">
        <f t="shared" si="33"/>
        <v>0.36478003799043229</v>
      </c>
      <c r="AR67" s="78">
        <f t="shared" si="34"/>
        <v>13.473017811668925</v>
      </c>
      <c r="AS67" s="78">
        <f t="shared" si="35"/>
        <v>29.640639185671635</v>
      </c>
      <c r="AT67" s="78">
        <f t="shared" si="36"/>
        <v>27.331630413659056</v>
      </c>
      <c r="AU67" s="78">
        <f t="shared" si="37"/>
        <v>60.12958691004993</v>
      </c>
      <c r="AV67" s="78">
        <f t="shared" si="12"/>
        <v>8.1994891240977168</v>
      </c>
      <c r="AW67" s="79">
        <f t="shared" si="13"/>
        <v>1643.1533242812263</v>
      </c>
      <c r="AX67" s="79">
        <f t="shared" si="14"/>
        <v>16431.533242812264</v>
      </c>
      <c r="AY67" s="30"/>
      <c r="AZ67" s="1"/>
    </row>
    <row r="68" spans="1:53" x14ac:dyDescent="0.25">
      <c r="A68" s="47" t="s">
        <v>223</v>
      </c>
      <c r="B68" s="47"/>
      <c r="C68" s="48">
        <v>10</v>
      </c>
      <c r="D68" s="48">
        <v>37.1</v>
      </c>
      <c r="E68" s="48">
        <v>76.8</v>
      </c>
      <c r="F68" s="48">
        <v>3.5</v>
      </c>
      <c r="G68" s="48">
        <v>7.4</v>
      </c>
      <c r="H68" s="80">
        <f>'Fiber_Ash Inputs'!V41</f>
        <v>35.6</v>
      </c>
      <c r="I68" s="80">
        <f>'Fiber_Ash Inputs'!W41</f>
        <v>64.2</v>
      </c>
      <c r="J68" s="80">
        <f>'Fiber_Ash Inputs'!X41</f>
        <v>7.9</v>
      </c>
      <c r="K68" s="80">
        <f>'Fiber_Ash Inputs'!U41</f>
        <v>3</v>
      </c>
      <c r="L68" s="76">
        <f t="shared" si="15"/>
        <v>24.35079535546226</v>
      </c>
      <c r="M68" s="76">
        <f t="shared" si="16"/>
        <v>94.616843393682686</v>
      </c>
      <c r="N68" s="76">
        <f t="shared" si="2"/>
        <v>22.191011235955056</v>
      </c>
      <c r="O68" s="76">
        <f t="shared" si="17"/>
        <v>22.191011235955056</v>
      </c>
      <c r="P68" s="76">
        <f>(100*((LN((100-O68)-I68)-4.6052)/-'Fiber_Ash Inputs'!$D$17))*'Fiber_Ash Inputs'!$C$17</f>
        <v>7.3869240261072449</v>
      </c>
      <c r="Q68" s="76">
        <f t="shared" si="18"/>
        <v>58.830414718402729</v>
      </c>
      <c r="R68" s="76">
        <f>IF('Fiber_Ash Inputs'!$B$11=30,I68,IF('Fiber_Ash Inputs'!$B$11=48,I68*0.926))</f>
        <v>64.2</v>
      </c>
      <c r="S68" s="76">
        <f t="shared" si="3"/>
        <v>5.6980000000000004</v>
      </c>
      <c r="T68" s="76">
        <f t="shared" si="4"/>
        <v>1.7094</v>
      </c>
      <c r="U68" s="46">
        <f t="shared" si="5"/>
        <v>2.5</v>
      </c>
      <c r="V68" s="77">
        <f t="shared" si="6"/>
        <v>14.399999999999997</v>
      </c>
      <c r="W68" s="76">
        <f t="shared" si="19"/>
        <v>4.5856445751997779</v>
      </c>
      <c r="X68" s="76">
        <f t="shared" si="20"/>
        <v>2.8283731001045389</v>
      </c>
      <c r="Y68" s="76">
        <f t="shared" si="21"/>
        <v>1.4298208821942155</v>
      </c>
      <c r="Z68" s="76">
        <f t="shared" si="7"/>
        <v>3.4787109692996374</v>
      </c>
      <c r="AA68" s="76">
        <f t="shared" si="8"/>
        <v>1.0436132907898912</v>
      </c>
      <c r="AB68" s="76">
        <f t="shared" si="22"/>
        <v>3.5106375837640469</v>
      </c>
      <c r="AC68" s="76">
        <f t="shared" si="23"/>
        <v>2.1952587200950457</v>
      </c>
      <c r="AD68" s="76">
        <f t="shared" si="24"/>
        <v>15.518325182771083</v>
      </c>
      <c r="AE68" s="76">
        <f t="shared" si="25"/>
        <v>3.2733558347128535</v>
      </c>
      <c r="AF68" s="46">
        <f t="shared" si="26"/>
        <v>6.0000000000000005E-2</v>
      </c>
      <c r="AG68" s="76">
        <f t="shared" si="27"/>
        <v>0.42414112853447733</v>
      </c>
      <c r="AH68" s="76">
        <f t="shared" si="38"/>
        <v>0.82301469114619663</v>
      </c>
      <c r="AI68" s="50">
        <f t="shared" si="9"/>
        <v>339.84845660228433</v>
      </c>
      <c r="AJ68" s="76">
        <f t="shared" si="28"/>
        <v>0.18154012004763848</v>
      </c>
      <c r="AK68" s="76">
        <f t="shared" si="29"/>
        <v>0.28296826901575345</v>
      </c>
      <c r="AL68" s="76">
        <f t="shared" si="30"/>
        <v>2.8088474456494614</v>
      </c>
      <c r="AM68" s="76">
        <f t="shared" si="31"/>
        <v>1.8538393141286447</v>
      </c>
      <c r="AN68" s="76">
        <f t="shared" si="10"/>
        <v>33.538450980075311</v>
      </c>
      <c r="AO68" s="76">
        <f t="shared" si="32"/>
        <v>0.2972717251180757</v>
      </c>
      <c r="AP68" s="78">
        <f t="shared" si="11"/>
        <v>9.9700331806350047</v>
      </c>
      <c r="AQ68" s="78">
        <f t="shared" si="33"/>
        <v>0.36478003799043229</v>
      </c>
      <c r="AR68" s="78">
        <f t="shared" si="34"/>
        <v>13.473017811668925</v>
      </c>
      <c r="AS68" s="78">
        <f t="shared" si="35"/>
        <v>29.640639185671635</v>
      </c>
      <c r="AT68" s="78">
        <f t="shared" si="36"/>
        <v>27.331630413659056</v>
      </c>
      <c r="AU68" s="78">
        <f t="shared" si="37"/>
        <v>60.12958691004993</v>
      </c>
      <c r="AV68" s="78">
        <f t="shared" si="12"/>
        <v>8.1994891240977168</v>
      </c>
      <c r="AW68" s="79">
        <f t="shared" si="13"/>
        <v>1643.1533242812263</v>
      </c>
      <c r="AX68" s="79">
        <f t="shared" si="14"/>
        <v>16431.533242812264</v>
      </c>
      <c r="AY68" s="30"/>
      <c r="AZ68" s="1"/>
    </row>
    <row r="69" spans="1:53" x14ac:dyDescent="0.25">
      <c r="A69" s="47" t="s">
        <v>224</v>
      </c>
      <c r="B69" s="47"/>
      <c r="C69" s="48">
        <v>10</v>
      </c>
      <c r="D69" s="48">
        <v>37.1</v>
      </c>
      <c r="E69" s="48">
        <v>76.8</v>
      </c>
      <c r="F69" s="48">
        <v>3.5</v>
      </c>
      <c r="G69" s="48">
        <v>7.4</v>
      </c>
      <c r="H69" s="80">
        <f>'Fiber_Ash Inputs'!V42</f>
        <v>35.6</v>
      </c>
      <c r="I69" s="80">
        <f>'Fiber_Ash Inputs'!W42</f>
        <v>64.2</v>
      </c>
      <c r="J69" s="80">
        <f>'Fiber_Ash Inputs'!X42</f>
        <v>7.9</v>
      </c>
      <c r="K69" s="80">
        <f>'Fiber_Ash Inputs'!U42</f>
        <v>3</v>
      </c>
      <c r="L69" s="76">
        <f t="shared" si="15"/>
        <v>24.35079535546226</v>
      </c>
      <c r="M69" s="76">
        <f t="shared" si="16"/>
        <v>94.616843393682686</v>
      </c>
      <c r="N69" s="76">
        <f t="shared" si="2"/>
        <v>22.191011235955056</v>
      </c>
      <c r="O69" s="76">
        <f t="shared" si="17"/>
        <v>22.191011235955056</v>
      </c>
      <c r="P69" s="76">
        <f>(100*((LN((100-O69)-I69)-4.6052)/-'Fiber_Ash Inputs'!$D$17))*'Fiber_Ash Inputs'!$C$17</f>
        <v>7.3869240261072449</v>
      </c>
      <c r="Q69" s="76">
        <f t="shared" si="18"/>
        <v>58.830414718402729</v>
      </c>
      <c r="R69" s="76">
        <f>IF('Fiber_Ash Inputs'!$B$11=30,I69,IF('Fiber_Ash Inputs'!$B$11=48,I69*0.926))</f>
        <v>64.2</v>
      </c>
      <c r="S69" s="76">
        <f t="shared" si="3"/>
        <v>5.6980000000000004</v>
      </c>
      <c r="T69" s="76">
        <f t="shared" si="4"/>
        <v>1.7094</v>
      </c>
      <c r="U69" s="46">
        <f t="shared" si="5"/>
        <v>2.5</v>
      </c>
      <c r="V69" s="77">
        <f t="shared" si="6"/>
        <v>14.399999999999997</v>
      </c>
      <c r="W69" s="76">
        <f t="shared" si="19"/>
        <v>4.5856445751997779</v>
      </c>
      <c r="X69" s="76">
        <f t="shared" si="20"/>
        <v>2.8283731001045389</v>
      </c>
      <c r="Y69" s="76">
        <f t="shared" si="21"/>
        <v>1.4298208821942155</v>
      </c>
      <c r="Z69" s="76">
        <f t="shared" si="7"/>
        <v>3.4787109692996374</v>
      </c>
      <c r="AA69" s="76">
        <f t="shared" si="8"/>
        <v>1.0436132907898912</v>
      </c>
      <c r="AB69" s="76">
        <f t="shared" si="22"/>
        <v>3.5106375837640469</v>
      </c>
      <c r="AC69" s="76">
        <f t="shared" si="23"/>
        <v>2.1952587200950457</v>
      </c>
      <c r="AD69" s="76">
        <f t="shared" si="24"/>
        <v>15.518325182771083</v>
      </c>
      <c r="AE69" s="76">
        <f t="shared" si="25"/>
        <v>3.2733558347128535</v>
      </c>
      <c r="AF69" s="46">
        <f t="shared" si="26"/>
        <v>6.0000000000000005E-2</v>
      </c>
      <c r="AG69" s="76">
        <f t="shared" si="27"/>
        <v>0.42414112853447733</v>
      </c>
      <c r="AH69" s="76">
        <f t="shared" si="38"/>
        <v>0.82301469114619663</v>
      </c>
      <c r="AI69" s="50">
        <f t="shared" si="9"/>
        <v>339.84845660228433</v>
      </c>
      <c r="AJ69" s="76">
        <f t="shared" si="28"/>
        <v>0.18154012004763848</v>
      </c>
      <c r="AK69" s="76">
        <f t="shared" si="29"/>
        <v>0.28296826901575345</v>
      </c>
      <c r="AL69" s="76">
        <f t="shared" si="30"/>
        <v>2.8088474456494614</v>
      </c>
      <c r="AM69" s="76">
        <f t="shared" si="31"/>
        <v>1.8538393141286447</v>
      </c>
      <c r="AN69" s="76">
        <f t="shared" si="10"/>
        <v>33.538450980075311</v>
      </c>
      <c r="AO69" s="76">
        <f t="shared" si="32"/>
        <v>0.2972717251180757</v>
      </c>
      <c r="AP69" s="78">
        <f t="shared" si="11"/>
        <v>9.9700331806350047</v>
      </c>
      <c r="AQ69" s="78">
        <f t="shared" si="33"/>
        <v>0.36478003799043229</v>
      </c>
      <c r="AR69" s="78">
        <f t="shared" si="34"/>
        <v>13.473017811668925</v>
      </c>
      <c r="AS69" s="78">
        <f t="shared" si="35"/>
        <v>29.640639185671635</v>
      </c>
      <c r="AT69" s="78">
        <f t="shared" si="36"/>
        <v>27.331630413659056</v>
      </c>
      <c r="AU69" s="78">
        <f t="shared" si="37"/>
        <v>60.12958691004993</v>
      </c>
      <c r="AV69" s="78">
        <f t="shared" si="12"/>
        <v>8.1994891240977168</v>
      </c>
      <c r="AW69" s="79">
        <f t="shared" si="13"/>
        <v>1643.1533242812263</v>
      </c>
      <c r="AX69" s="79">
        <f t="shared" si="14"/>
        <v>16431.533242812264</v>
      </c>
      <c r="AY69" s="30"/>
      <c r="AZ69" s="1"/>
    </row>
    <row r="70" spans="1:53" x14ac:dyDescent="0.25">
      <c r="A70" s="47" t="s">
        <v>225</v>
      </c>
      <c r="B70" s="47"/>
      <c r="C70" s="48">
        <v>10</v>
      </c>
      <c r="D70" s="48">
        <v>37.1</v>
      </c>
      <c r="E70" s="48">
        <v>76.8</v>
      </c>
      <c r="F70" s="48">
        <v>3.5</v>
      </c>
      <c r="G70" s="48">
        <v>7.4</v>
      </c>
      <c r="H70" s="80">
        <f>'Fiber_Ash Inputs'!V43</f>
        <v>35.6</v>
      </c>
      <c r="I70" s="80">
        <f>'Fiber_Ash Inputs'!W43</f>
        <v>64.2</v>
      </c>
      <c r="J70" s="80">
        <f>'Fiber_Ash Inputs'!X43</f>
        <v>7.9</v>
      </c>
      <c r="K70" s="80">
        <f>'Fiber_Ash Inputs'!U43</f>
        <v>3</v>
      </c>
      <c r="L70" s="76">
        <f t="shared" si="15"/>
        <v>24.35079535546226</v>
      </c>
      <c r="M70" s="76">
        <f t="shared" si="16"/>
        <v>94.616843393682686</v>
      </c>
      <c r="N70" s="76">
        <f t="shared" si="2"/>
        <v>22.191011235955056</v>
      </c>
      <c r="O70" s="76">
        <f t="shared" si="17"/>
        <v>22.191011235955056</v>
      </c>
      <c r="P70" s="76">
        <f>(100*((LN((100-O70)-I70)-4.6052)/-'Fiber_Ash Inputs'!$D$17))*'Fiber_Ash Inputs'!$C$17</f>
        <v>7.3869240261072449</v>
      </c>
      <c r="Q70" s="76">
        <f t="shared" si="18"/>
        <v>58.830414718402729</v>
      </c>
      <c r="R70" s="76">
        <f>IF('Fiber_Ash Inputs'!$B$11=30,I70,IF('Fiber_Ash Inputs'!$B$11=48,I70*0.926))</f>
        <v>64.2</v>
      </c>
      <c r="S70" s="76">
        <f t="shared" si="3"/>
        <v>5.6980000000000004</v>
      </c>
      <c r="T70" s="76">
        <f t="shared" si="4"/>
        <v>1.7094</v>
      </c>
      <c r="U70" s="46">
        <f t="shared" si="5"/>
        <v>2.5</v>
      </c>
      <c r="V70" s="77">
        <f t="shared" si="6"/>
        <v>14.399999999999997</v>
      </c>
      <c r="W70" s="76">
        <f t="shared" si="19"/>
        <v>4.5856445751997779</v>
      </c>
      <c r="X70" s="76">
        <f t="shared" si="20"/>
        <v>2.8283731001045389</v>
      </c>
      <c r="Y70" s="76">
        <f t="shared" si="21"/>
        <v>1.4298208821942155</v>
      </c>
      <c r="Z70" s="76">
        <f t="shared" si="7"/>
        <v>3.4787109692996374</v>
      </c>
      <c r="AA70" s="76">
        <f t="shared" si="8"/>
        <v>1.0436132907898912</v>
      </c>
      <c r="AB70" s="76">
        <f t="shared" si="22"/>
        <v>3.5106375837640469</v>
      </c>
      <c r="AC70" s="76">
        <f t="shared" si="23"/>
        <v>2.1952587200950457</v>
      </c>
      <c r="AD70" s="76">
        <f t="shared" si="24"/>
        <v>15.518325182771083</v>
      </c>
      <c r="AE70" s="76">
        <f t="shared" si="25"/>
        <v>3.2733558347128535</v>
      </c>
      <c r="AF70" s="46">
        <f t="shared" si="26"/>
        <v>6.0000000000000005E-2</v>
      </c>
      <c r="AG70" s="76">
        <f t="shared" si="27"/>
        <v>0.42414112853447733</v>
      </c>
      <c r="AH70" s="76">
        <f t="shared" si="38"/>
        <v>0.82301469114619663</v>
      </c>
      <c r="AI70" s="50">
        <f t="shared" si="9"/>
        <v>339.84845660228433</v>
      </c>
      <c r="AJ70" s="76">
        <f t="shared" si="28"/>
        <v>0.18154012004763848</v>
      </c>
      <c r="AK70" s="76">
        <f t="shared" si="29"/>
        <v>0.28296826901575345</v>
      </c>
      <c r="AL70" s="76">
        <f t="shared" si="30"/>
        <v>2.8088474456494614</v>
      </c>
      <c r="AM70" s="76">
        <f t="shared" si="31"/>
        <v>1.8538393141286447</v>
      </c>
      <c r="AN70" s="76">
        <f t="shared" ref="AN70:AN101" si="39">((AM70*AT70)-$AN$11-$AN$14)</f>
        <v>33.538450980075311</v>
      </c>
      <c r="AO70" s="76">
        <f t="shared" si="32"/>
        <v>0.2972717251180757</v>
      </c>
      <c r="AP70" s="78">
        <f t="shared" si="11"/>
        <v>9.9700331806350047</v>
      </c>
      <c r="AQ70" s="78">
        <f t="shared" si="33"/>
        <v>0.36478003799043229</v>
      </c>
      <c r="AR70" s="78">
        <f t="shared" si="34"/>
        <v>13.473017811668925</v>
      </c>
      <c r="AS70" s="78">
        <f t="shared" si="35"/>
        <v>29.640639185671635</v>
      </c>
      <c r="AT70" s="78">
        <f t="shared" ref="AT70:AT101" si="40">12-0.107*($F$22*0.7+H70*0.3)+8.17*($AU$10/($F$22*0.7+H70*0.3))+0.0253*($G$22*0.7+R70*0.3)-0.328*(($AU$10/($F$22*0.7+H70*0.3))-0.602)*(($G$22*0.7+R70*0.3)-48.3)+0.225*$AU$13+0.0039*(($G$22*0.7+R70*0.3)-48.3)*($AU$13-33.1)</f>
        <v>27.331630413659056</v>
      </c>
      <c r="AU70" s="78">
        <f t="shared" si="37"/>
        <v>60.12958691004993</v>
      </c>
      <c r="AV70" s="78">
        <f t="shared" ref="AV70:AV102" si="41">AT70*0.3</f>
        <v>8.1994891240977168</v>
      </c>
      <c r="AW70" s="79">
        <f t="shared" ref="AW70:AW101" si="42">(AR70/AV70)*1000</f>
        <v>1643.1533242812263</v>
      </c>
      <c r="AX70" s="79">
        <f t="shared" ref="AX70:AX101" si="43">C70*AW70</f>
        <v>16431.533242812264</v>
      </c>
      <c r="AY70" s="30"/>
      <c r="AZ70" s="1"/>
    </row>
    <row r="71" spans="1:53" x14ac:dyDescent="0.25">
      <c r="A71" s="47" t="s">
        <v>226</v>
      </c>
      <c r="B71" s="47"/>
      <c r="C71" s="48">
        <v>10</v>
      </c>
      <c r="D71" s="48">
        <v>37.1</v>
      </c>
      <c r="E71" s="48">
        <v>76.8</v>
      </c>
      <c r="F71" s="48">
        <v>3.5</v>
      </c>
      <c r="G71" s="48">
        <v>7.4</v>
      </c>
      <c r="H71" s="80">
        <f>'Fiber_Ash Inputs'!V44</f>
        <v>35.6</v>
      </c>
      <c r="I71" s="80">
        <f>'Fiber_Ash Inputs'!W44</f>
        <v>64.2</v>
      </c>
      <c r="J71" s="80">
        <f>'Fiber_Ash Inputs'!X44</f>
        <v>7.9</v>
      </c>
      <c r="K71" s="80">
        <f>'Fiber_Ash Inputs'!U44</f>
        <v>3</v>
      </c>
      <c r="L71" s="76">
        <f t="shared" si="15"/>
        <v>24.35079535546226</v>
      </c>
      <c r="M71" s="76">
        <f t="shared" si="16"/>
        <v>94.616843393682686</v>
      </c>
      <c r="N71" s="76">
        <f t="shared" si="2"/>
        <v>22.191011235955056</v>
      </c>
      <c r="O71" s="76">
        <f t="shared" si="17"/>
        <v>22.191011235955056</v>
      </c>
      <c r="P71" s="76">
        <f>(100*((LN((100-O71)-I71)-4.6052)/-'Fiber_Ash Inputs'!$D$17))*'Fiber_Ash Inputs'!$C$17</f>
        <v>7.3869240261072449</v>
      </c>
      <c r="Q71" s="76">
        <f t="shared" si="18"/>
        <v>58.830414718402729</v>
      </c>
      <c r="R71" s="76">
        <f>IF('Fiber_Ash Inputs'!$B$11=30,I71,IF('Fiber_Ash Inputs'!$B$11=48,I71*0.926))</f>
        <v>64.2</v>
      </c>
      <c r="S71" s="76">
        <f t="shared" si="3"/>
        <v>5.6980000000000004</v>
      </c>
      <c r="T71" s="76">
        <f t="shared" si="4"/>
        <v>1.7094</v>
      </c>
      <c r="U71" s="46">
        <f t="shared" si="5"/>
        <v>2.5</v>
      </c>
      <c r="V71" s="77">
        <f t="shared" si="6"/>
        <v>14.399999999999997</v>
      </c>
      <c r="W71" s="76">
        <f t="shared" si="19"/>
        <v>4.5856445751997779</v>
      </c>
      <c r="X71" s="76">
        <f t="shared" si="20"/>
        <v>2.8283731001045389</v>
      </c>
      <c r="Y71" s="76">
        <f t="shared" si="21"/>
        <v>1.4298208821942155</v>
      </c>
      <c r="Z71" s="76">
        <f t="shared" si="7"/>
        <v>3.4787109692996374</v>
      </c>
      <c r="AA71" s="76">
        <f t="shared" si="8"/>
        <v>1.0436132907898912</v>
      </c>
      <c r="AB71" s="76">
        <f t="shared" si="22"/>
        <v>3.5106375837640469</v>
      </c>
      <c r="AC71" s="76">
        <f t="shared" si="23"/>
        <v>2.1952587200950457</v>
      </c>
      <c r="AD71" s="76">
        <f t="shared" si="24"/>
        <v>15.518325182771083</v>
      </c>
      <c r="AE71" s="76">
        <f t="shared" si="25"/>
        <v>3.2733558347128535</v>
      </c>
      <c r="AF71" s="46">
        <f t="shared" si="26"/>
        <v>6.0000000000000005E-2</v>
      </c>
      <c r="AG71" s="76">
        <f t="shared" si="27"/>
        <v>0.42414112853447733</v>
      </c>
      <c r="AH71" s="76">
        <f t="shared" si="38"/>
        <v>0.82301469114619663</v>
      </c>
      <c r="AI71" s="50">
        <f t="shared" si="9"/>
        <v>339.84845660228433</v>
      </c>
      <c r="AJ71" s="76">
        <f t="shared" si="28"/>
        <v>0.18154012004763848</v>
      </c>
      <c r="AK71" s="76">
        <f t="shared" si="29"/>
        <v>0.28296826901575345</v>
      </c>
      <c r="AL71" s="76">
        <f t="shared" si="30"/>
        <v>2.8088474456494614</v>
      </c>
      <c r="AM71" s="76">
        <f t="shared" si="31"/>
        <v>1.8538393141286447</v>
      </c>
      <c r="AN71" s="76">
        <f t="shared" si="39"/>
        <v>33.538450980075311</v>
      </c>
      <c r="AO71" s="76">
        <f t="shared" si="32"/>
        <v>0.2972717251180757</v>
      </c>
      <c r="AP71" s="78">
        <f t="shared" si="11"/>
        <v>9.9700331806350047</v>
      </c>
      <c r="AQ71" s="78">
        <f t="shared" si="33"/>
        <v>0.36478003799043229</v>
      </c>
      <c r="AR71" s="78">
        <f t="shared" si="34"/>
        <v>13.473017811668925</v>
      </c>
      <c r="AS71" s="78">
        <f t="shared" si="35"/>
        <v>29.640639185671635</v>
      </c>
      <c r="AT71" s="78">
        <f t="shared" si="40"/>
        <v>27.331630413659056</v>
      </c>
      <c r="AU71" s="78">
        <f t="shared" si="37"/>
        <v>60.12958691004993</v>
      </c>
      <c r="AV71" s="78">
        <f t="shared" si="41"/>
        <v>8.1994891240977168</v>
      </c>
      <c r="AW71" s="79">
        <f t="shared" si="42"/>
        <v>1643.1533242812263</v>
      </c>
      <c r="AX71" s="79">
        <f t="shared" si="43"/>
        <v>16431.533242812264</v>
      </c>
      <c r="AY71" s="30"/>
      <c r="AZ71" s="1"/>
    </row>
    <row r="72" spans="1:53" x14ac:dyDescent="0.25">
      <c r="A72" s="47" t="s">
        <v>227</v>
      </c>
      <c r="B72" s="47"/>
      <c r="C72" s="48">
        <v>10</v>
      </c>
      <c r="D72" s="48">
        <v>37.1</v>
      </c>
      <c r="E72" s="48">
        <v>76.8</v>
      </c>
      <c r="F72" s="48">
        <v>3.5</v>
      </c>
      <c r="G72" s="48">
        <v>7.4</v>
      </c>
      <c r="H72" s="80">
        <f>'Fiber_Ash Inputs'!V45</f>
        <v>35.6</v>
      </c>
      <c r="I72" s="80">
        <f>'Fiber_Ash Inputs'!W45</f>
        <v>64.2</v>
      </c>
      <c r="J72" s="80">
        <f>'Fiber_Ash Inputs'!X45</f>
        <v>7.9</v>
      </c>
      <c r="K72" s="80">
        <f>'Fiber_Ash Inputs'!U45</f>
        <v>3</v>
      </c>
      <c r="L72" s="76">
        <f t="shared" si="15"/>
        <v>24.35079535546226</v>
      </c>
      <c r="M72" s="76">
        <f t="shared" si="16"/>
        <v>94.616843393682686</v>
      </c>
      <c r="N72" s="76">
        <f t="shared" si="2"/>
        <v>22.191011235955056</v>
      </c>
      <c r="O72" s="76">
        <f t="shared" si="17"/>
        <v>22.191011235955056</v>
      </c>
      <c r="P72" s="76">
        <f>(100*((LN((100-O72)-I72)-4.6052)/-'Fiber_Ash Inputs'!$D$17))*'Fiber_Ash Inputs'!$C$17</f>
        <v>7.3869240261072449</v>
      </c>
      <c r="Q72" s="76">
        <f t="shared" si="18"/>
        <v>58.830414718402729</v>
      </c>
      <c r="R72" s="76">
        <f>IF('Fiber_Ash Inputs'!$B$11=30,I72,IF('Fiber_Ash Inputs'!$B$11=48,I72*0.926))</f>
        <v>64.2</v>
      </c>
      <c r="S72" s="76">
        <f t="shared" si="3"/>
        <v>5.6980000000000004</v>
      </c>
      <c r="T72" s="76">
        <f t="shared" si="4"/>
        <v>1.7094</v>
      </c>
      <c r="U72" s="46">
        <f t="shared" si="5"/>
        <v>2.5</v>
      </c>
      <c r="V72" s="77">
        <f t="shared" si="6"/>
        <v>14.399999999999997</v>
      </c>
      <c r="W72" s="76">
        <f t="shared" si="19"/>
        <v>4.5856445751997779</v>
      </c>
      <c r="X72" s="76">
        <f t="shared" si="20"/>
        <v>2.8283731001045389</v>
      </c>
      <c r="Y72" s="76">
        <f t="shared" si="21"/>
        <v>1.4298208821942155</v>
      </c>
      <c r="Z72" s="76">
        <f t="shared" si="7"/>
        <v>3.4787109692996374</v>
      </c>
      <c r="AA72" s="76">
        <f t="shared" si="8"/>
        <v>1.0436132907898912</v>
      </c>
      <c r="AB72" s="76">
        <f t="shared" si="22"/>
        <v>3.5106375837640469</v>
      </c>
      <c r="AC72" s="76">
        <f t="shared" si="23"/>
        <v>2.1952587200950457</v>
      </c>
      <c r="AD72" s="76">
        <f t="shared" si="24"/>
        <v>15.518325182771083</v>
      </c>
      <c r="AE72" s="76">
        <f t="shared" si="25"/>
        <v>3.2733558347128535</v>
      </c>
      <c r="AF72" s="46">
        <f t="shared" si="26"/>
        <v>6.0000000000000005E-2</v>
      </c>
      <c r="AG72" s="76">
        <f t="shared" si="27"/>
        <v>0.42414112853447733</v>
      </c>
      <c r="AH72" s="76">
        <f t="shared" si="38"/>
        <v>0.82301469114619663</v>
      </c>
      <c r="AI72" s="50">
        <f t="shared" si="9"/>
        <v>339.84845660228433</v>
      </c>
      <c r="AJ72" s="76">
        <f t="shared" si="28"/>
        <v>0.18154012004763848</v>
      </c>
      <c r="AK72" s="76">
        <f t="shared" si="29"/>
        <v>0.28296826901575345</v>
      </c>
      <c r="AL72" s="76">
        <f t="shared" si="30"/>
        <v>2.8088474456494614</v>
      </c>
      <c r="AM72" s="76">
        <f t="shared" si="31"/>
        <v>1.8538393141286447</v>
      </c>
      <c r="AN72" s="76">
        <f t="shared" si="39"/>
        <v>33.538450980075311</v>
      </c>
      <c r="AO72" s="76">
        <f t="shared" si="32"/>
        <v>0.2972717251180757</v>
      </c>
      <c r="AP72" s="78">
        <f t="shared" si="11"/>
        <v>9.9700331806350047</v>
      </c>
      <c r="AQ72" s="78">
        <f t="shared" si="33"/>
        <v>0.36478003799043229</v>
      </c>
      <c r="AR72" s="78">
        <f t="shared" si="34"/>
        <v>13.473017811668925</v>
      </c>
      <c r="AS72" s="78">
        <f t="shared" si="35"/>
        <v>29.640639185671635</v>
      </c>
      <c r="AT72" s="78">
        <f t="shared" si="40"/>
        <v>27.331630413659056</v>
      </c>
      <c r="AU72" s="78">
        <f t="shared" si="37"/>
        <v>60.12958691004993</v>
      </c>
      <c r="AV72" s="78">
        <f t="shared" si="41"/>
        <v>8.1994891240977168</v>
      </c>
      <c r="AW72" s="79">
        <f t="shared" si="42"/>
        <v>1643.1533242812263</v>
      </c>
      <c r="AX72" s="79">
        <f t="shared" si="43"/>
        <v>16431.533242812264</v>
      </c>
      <c r="AY72" s="30"/>
      <c r="AZ72" s="1"/>
    </row>
    <row r="73" spans="1:53" x14ac:dyDescent="0.25">
      <c r="A73" s="47" t="s">
        <v>228</v>
      </c>
      <c r="B73" s="47"/>
      <c r="C73" s="48">
        <v>10</v>
      </c>
      <c r="D73" s="48">
        <v>37.1</v>
      </c>
      <c r="E73" s="48">
        <v>76.8</v>
      </c>
      <c r="F73" s="48">
        <v>3.5</v>
      </c>
      <c r="G73" s="48">
        <v>7.4</v>
      </c>
      <c r="H73" s="80">
        <f>'Fiber_Ash Inputs'!V46</f>
        <v>35.6</v>
      </c>
      <c r="I73" s="80">
        <f>'Fiber_Ash Inputs'!W46</f>
        <v>64.2</v>
      </c>
      <c r="J73" s="80">
        <f>'Fiber_Ash Inputs'!X46</f>
        <v>7.9</v>
      </c>
      <c r="K73" s="80">
        <f>'Fiber_Ash Inputs'!U46</f>
        <v>3</v>
      </c>
      <c r="L73" s="76">
        <f t="shared" si="15"/>
        <v>24.35079535546226</v>
      </c>
      <c r="M73" s="76">
        <f t="shared" si="16"/>
        <v>94.616843393682686</v>
      </c>
      <c r="N73" s="76">
        <f t="shared" si="2"/>
        <v>22.191011235955056</v>
      </c>
      <c r="O73" s="76">
        <f t="shared" si="17"/>
        <v>22.191011235955056</v>
      </c>
      <c r="P73" s="76">
        <f>(100*((LN((100-O73)-I73)-4.6052)/-'Fiber_Ash Inputs'!$D$17))*'Fiber_Ash Inputs'!$C$17</f>
        <v>7.3869240261072449</v>
      </c>
      <c r="Q73" s="76">
        <f t="shared" si="18"/>
        <v>58.830414718402729</v>
      </c>
      <c r="R73" s="76">
        <f>IF('Fiber_Ash Inputs'!$B$11=30,I73,IF('Fiber_Ash Inputs'!$B$11=48,I73*0.926))</f>
        <v>64.2</v>
      </c>
      <c r="S73" s="76">
        <f t="shared" si="3"/>
        <v>5.6980000000000004</v>
      </c>
      <c r="T73" s="76">
        <f t="shared" si="4"/>
        <v>1.7094</v>
      </c>
      <c r="U73" s="46">
        <f t="shared" si="5"/>
        <v>2.5</v>
      </c>
      <c r="V73" s="77">
        <f t="shared" si="6"/>
        <v>14.399999999999997</v>
      </c>
      <c r="W73" s="76">
        <f t="shared" si="19"/>
        <v>4.5856445751997779</v>
      </c>
      <c r="X73" s="76">
        <f t="shared" si="20"/>
        <v>2.8283731001045389</v>
      </c>
      <c r="Y73" s="76">
        <f t="shared" si="21"/>
        <v>1.4298208821942155</v>
      </c>
      <c r="Z73" s="76">
        <f t="shared" si="7"/>
        <v>3.4787109692996374</v>
      </c>
      <c r="AA73" s="76">
        <f t="shared" si="8"/>
        <v>1.0436132907898912</v>
      </c>
      <c r="AB73" s="76">
        <f t="shared" si="22"/>
        <v>3.5106375837640469</v>
      </c>
      <c r="AC73" s="76">
        <f t="shared" si="23"/>
        <v>2.1952587200950457</v>
      </c>
      <c r="AD73" s="76">
        <f t="shared" si="24"/>
        <v>15.518325182771083</v>
      </c>
      <c r="AE73" s="76">
        <f t="shared" si="25"/>
        <v>3.2733558347128535</v>
      </c>
      <c r="AF73" s="46">
        <f t="shared" si="26"/>
        <v>6.0000000000000005E-2</v>
      </c>
      <c r="AG73" s="76">
        <f t="shared" si="27"/>
        <v>0.42414112853447733</v>
      </c>
      <c r="AH73" s="76">
        <f t="shared" si="38"/>
        <v>0.82301469114619663</v>
      </c>
      <c r="AI73" s="50">
        <f t="shared" si="9"/>
        <v>339.84845660228433</v>
      </c>
      <c r="AJ73" s="76">
        <f t="shared" si="28"/>
        <v>0.18154012004763848</v>
      </c>
      <c r="AK73" s="76">
        <f t="shared" si="29"/>
        <v>0.28296826901575345</v>
      </c>
      <c r="AL73" s="76">
        <f t="shared" si="30"/>
        <v>2.8088474456494614</v>
      </c>
      <c r="AM73" s="76">
        <f t="shared" si="31"/>
        <v>1.8538393141286447</v>
      </c>
      <c r="AN73" s="76">
        <f t="shared" si="39"/>
        <v>33.538450980075311</v>
      </c>
      <c r="AO73" s="76">
        <f t="shared" si="32"/>
        <v>0.2972717251180757</v>
      </c>
      <c r="AP73" s="78">
        <f t="shared" si="11"/>
        <v>9.9700331806350047</v>
      </c>
      <c r="AQ73" s="78">
        <f t="shared" si="33"/>
        <v>0.36478003799043229</v>
      </c>
      <c r="AR73" s="78">
        <f t="shared" si="34"/>
        <v>13.473017811668925</v>
      </c>
      <c r="AS73" s="78">
        <f t="shared" si="35"/>
        <v>29.640639185671635</v>
      </c>
      <c r="AT73" s="78">
        <f t="shared" si="40"/>
        <v>27.331630413659056</v>
      </c>
      <c r="AU73" s="78">
        <f t="shared" si="37"/>
        <v>60.12958691004993</v>
      </c>
      <c r="AV73" s="78">
        <f t="shared" si="41"/>
        <v>8.1994891240977168</v>
      </c>
      <c r="AW73" s="79">
        <f t="shared" si="42"/>
        <v>1643.1533242812263</v>
      </c>
      <c r="AX73" s="79">
        <f t="shared" si="43"/>
        <v>16431.533242812264</v>
      </c>
      <c r="AY73" s="30"/>
      <c r="AZ73" s="1"/>
    </row>
    <row r="74" spans="1:53" x14ac:dyDescent="0.25">
      <c r="A74" s="47" t="s">
        <v>229</v>
      </c>
      <c r="B74" s="47"/>
      <c r="C74" s="48">
        <v>10</v>
      </c>
      <c r="D74" s="48">
        <v>37.1</v>
      </c>
      <c r="E74" s="48">
        <v>76.8</v>
      </c>
      <c r="F74" s="48">
        <v>3.5</v>
      </c>
      <c r="G74" s="48">
        <v>7.4</v>
      </c>
      <c r="H74" s="80">
        <f>'Fiber_Ash Inputs'!V47</f>
        <v>35.6</v>
      </c>
      <c r="I74" s="80">
        <f>'Fiber_Ash Inputs'!W47</f>
        <v>64.2</v>
      </c>
      <c r="J74" s="80">
        <f>'Fiber_Ash Inputs'!X47</f>
        <v>7.9</v>
      </c>
      <c r="K74" s="80">
        <f>'Fiber_Ash Inputs'!U47</f>
        <v>3</v>
      </c>
      <c r="L74" s="76">
        <f t="shared" si="15"/>
        <v>24.35079535546226</v>
      </c>
      <c r="M74" s="76">
        <f t="shared" si="16"/>
        <v>94.616843393682686</v>
      </c>
      <c r="N74" s="76">
        <f t="shared" si="2"/>
        <v>22.191011235955056</v>
      </c>
      <c r="O74" s="76">
        <f t="shared" si="17"/>
        <v>22.191011235955056</v>
      </c>
      <c r="P74" s="76">
        <f>(100*((LN((100-O74)-I74)-4.6052)/-'Fiber_Ash Inputs'!$D$17))*'Fiber_Ash Inputs'!$C$17</f>
        <v>7.3869240261072449</v>
      </c>
      <c r="Q74" s="76">
        <f t="shared" si="18"/>
        <v>58.830414718402729</v>
      </c>
      <c r="R74" s="76">
        <f>IF('Fiber_Ash Inputs'!$B$11=30,I74,IF('Fiber_Ash Inputs'!$B$11=48,I74*0.926))</f>
        <v>64.2</v>
      </c>
      <c r="S74" s="76">
        <f t="shared" si="3"/>
        <v>5.6980000000000004</v>
      </c>
      <c r="T74" s="76">
        <f t="shared" si="4"/>
        <v>1.7094</v>
      </c>
      <c r="U74" s="46">
        <f t="shared" si="5"/>
        <v>2.5</v>
      </c>
      <c r="V74" s="77">
        <f t="shared" si="6"/>
        <v>14.399999999999997</v>
      </c>
      <c r="W74" s="76">
        <f t="shared" si="19"/>
        <v>4.5856445751997779</v>
      </c>
      <c r="X74" s="76">
        <f t="shared" si="20"/>
        <v>2.8283731001045389</v>
      </c>
      <c r="Y74" s="76">
        <f t="shared" si="21"/>
        <v>1.4298208821942155</v>
      </c>
      <c r="Z74" s="76">
        <f t="shared" si="7"/>
        <v>3.4787109692996374</v>
      </c>
      <c r="AA74" s="76">
        <f t="shared" si="8"/>
        <v>1.0436132907898912</v>
      </c>
      <c r="AB74" s="76">
        <f t="shared" si="22"/>
        <v>3.5106375837640469</v>
      </c>
      <c r="AC74" s="76">
        <f t="shared" si="23"/>
        <v>2.1952587200950457</v>
      </c>
      <c r="AD74" s="76">
        <f t="shared" si="24"/>
        <v>15.518325182771083</v>
      </c>
      <c r="AE74" s="76">
        <f t="shared" si="25"/>
        <v>3.2733558347128535</v>
      </c>
      <c r="AF74" s="46">
        <f t="shared" si="26"/>
        <v>6.0000000000000005E-2</v>
      </c>
      <c r="AG74" s="76">
        <f t="shared" si="27"/>
        <v>0.42414112853447733</v>
      </c>
      <c r="AH74" s="76">
        <f t="shared" si="38"/>
        <v>0.82301469114619663</v>
      </c>
      <c r="AI74" s="50">
        <f t="shared" si="9"/>
        <v>339.84845660228433</v>
      </c>
      <c r="AJ74" s="76">
        <f t="shared" si="28"/>
        <v>0.18154012004763848</v>
      </c>
      <c r="AK74" s="76">
        <f t="shared" si="29"/>
        <v>0.28296826901575345</v>
      </c>
      <c r="AL74" s="76">
        <f t="shared" si="30"/>
        <v>2.8088474456494614</v>
      </c>
      <c r="AM74" s="76">
        <f t="shared" si="31"/>
        <v>1.8538393141286447</v>
      </c>
      <c r="AN74" s="76">
        <f t="shared" si="39"/>
        <v>33.538450980075311</v>
      </c>
      <c r="AO74" s="76">
        <f t="shared" si="32"/>
        <v>0.2972717251180757</v>
      </c>
      <c r="AP74" s="78">
        <f t="shared" si="11"/>
        <v>9.9700331806350047</v>
      </c>
      <c r="AQ74" s="78">
        <f t="shared" si="33"/>
        <v>0.36478003799043229</v>
      </c>
      <c r="AR74" s="78">
        <f t="shared" si="34"/>
        <v>13.473017811668925</v>
      </c>
      <c r="AS74" s="78">
        <f t="shared" si="35"/>
        <v>29.640639185671635</v>
      </c>
      <c r="AT74" s="78">
        <f t="shared" si="40"/>
        <v>27.331630413659056</v>
      </c>
      <c r="AU74" s="78">
        <f t="shared" si="37"/>
        <v>60.12958691004993</v>
      </c>
      <c r="AV74" s="78">
        <f t="shared" si="41"/>
        <v>8.1994891240977168</v>
      </c>
      <c r="AW74" s="79">
        <f t="shared" si="42"/>
        <v>1643.1533242812263</v>
      </c>
      <c r="AX74" s="79">
        <f t="shared" si="43"/>
        <v>16431.533242812264</v>
      </c>
      <c r="AY74" s="30"/>
      <c r="AZ74" s="1"/>
    </row>
    <row r="75" spans="1:53" x14ac:dyDescent="0.25">
      <c r="A75" s="47" t="s">
        <v>230</v>
      </c>
      <c r="B75" s="47"/>
      <c r="C75" s="48">
        <v>10</v>
      </c>
      <c r="D75" s="48">
        <v>37.1</v>
      </c>
      <c r="E75" s="48">
        <v>76.8</v>
      </c>
      <c r="F75" s="48">
        <v>3.5</v>
      </c>
      <c r="G75" s="48">
        <v>7.4</v>
      </c>
      <c r="H75" s="80">
        <f>'Fiber_Ash Inputs'!V48</f>
        <v>35.6</v>
      </c>
      <c r="I75" s="80">
        <f>'Fiber_Ash Inputs'!W48</f>
        <v>64.2</v>
      </c>
      <c r="J75" s="80">
        <f>'Fiber_Ash Inputs'!X48</f>
        <v>7.9</v>
      </c>
      <c r="K75" s="80">
        <f>'Fiber_Ash Inputs'!U48</f>
        <v>3</v>
      </c>
      <c r="L75" s="76">
        <f t="shared" si="15"/>
        <v>24.35079535546226</v>
      </c>
      <c r="M75" s="76">
        <f t="shared" si="16"/>
        <v>94.616843393682686</v>
      </c>
      <c r="N75" s="76">
        <f t="shared" si="2"/>
        <v>22.191011235955056</v>
      </c>
      <c r="O75" s="76">
        <f t="shared" si="17"/>
        <v>22.191011235955056</v>
      </c>
      <c r="P75" s="76">
        <f>(100*((LN((100-O75)-I75)-4.6052)/-'Fiber_Ash Inputs'!$D$17))*'Fiber_Ash Inputs'!$C$17</f>
        <v>7.3869240261072449</v>
      </c>
      <c r="Q75" s="76">
        <f t="shared" si="18"/>
        <v>58.830414718402729</v>
      </c>
      <c r="R75" s="76">
        <f>IF('Fiber_Ash Inputs'!$B$11=30,I75,IF('Fiber_Ash Inputs'!$B$11=48,I75*0.926))</f>
        <v>64.2</v>
      </c>
      <c r="S75" s="76">
        <f t="shared" si="3"/>
        <v>5.6980000000000004</v>
      </c>
      <c r="T75" s="76">
        <f t="shared" si="4"/>
        <v>1.7094</v>
      </c>
      <c r="U75" s="46">
        <f t="shared" si="5"/>
        <v>2.5</v>
      </c>
      <c r="V75" s="77">
        <f t="shared" si="6"/>
        <v>14.399999999999997</v>
      </c>
      <c r="W75" s="76">
        <f t="shared" si="19"/>
        <v>4.5856445751997779</v>
      </c>
      <c r="X75" s="76">
        <f t="shared" si="20"/>
        <v>2.8283731001045389</v>
      </c>
      <c r="Y75" s="76">
        <f t="shared" si="21"/>
        <v>1.4298208821942155</v>
      </c>
      <c r="Z75" s="76">
        <f t="shared" si="7"/>
        <v>3.4787109692996374</v>
      </c>
      <c r="AA75" s="76">
        <f t="shared" si="8"/>
        <v>1.0436132907898912</v>
      </c>
      <c r="AB75" s="76">
        <f t="shared" si="22"/>
        <v>3.5106375837640469</v>
      </c>
      <c r="AC75" s="76">
        <f t="shared" si="23"/>
        <v>2.1952587200950457</v>
      </c>
      <c r="AD75" s="76">
        <f t="shared" si="24"/>
        <v>15.518325182771083</v>
      </c>
      <c r="AE75" s="76">
        <f t="shared" si="25"/>
        <v>3.2733558347128535</v>
      </c>
      <c r="AF75" s="46">
        <f t="shared" si="26"/>
        <v>6.0000000000000005E-2</v>
      </c>
      <c r="AG75" s="76">
        <f t="shared" si="27"/>
        <v>0.42414112853447733</v>
      </c>
      <c r="AH75" s="76">
        <f t="shared" si="38"/>
        <v>0.82301469114619663</v>
      </c>
      <c r="AI75" s="50">
        <f t="shared" si="9"/>
        <v>339.84845660228433</v>
      </c>
      <c r="AJ75" s="76">
        <f t="shared" si="28"/>
        <v>0.18154012004763848</v>
      </c>
      <c r="AK75" s="76">
        <f t="shared" si="29"/>
        <v>0.28296826901575345</v>
      </c>
      <c r="AL75" s="76">
        <f t="shared" si="30"/>
        <v>2.8088474456494614</v>
      </c>
      <c r="AM75" s="76">
        <f t="shared" si="31"/>
        <v>1.8538393141286447</v>
      </c>
      <c r="AN75" s="76">
        <f t="shared" si="39"/>
        <v>33.538450980075311</v>
      </c>
      <c r="AO75" s="76">
        <f t="shared" si="32"/>
        <v>0.2972717251180757</v>
      </c>
      <c r="AP75" s="78">
        <f t="shared" si="11"/>
        <v>9.9700331806350047</v>
      </c>
      <c r="AQ75" s="78">
        <f t="shared" si="33"/>
        <v>0.36478003799043229</v>
      </c>
      <c r="AR75" s="78">
        <f t="shared" si="34"/>
        <v>13.473017811668925</v>
      </c>
      <c r="AS75" s="78">
        <f t="shared" si="35"/>
        <v>29.640639185671635</v>
      </c>
      <c r="AT75" s="78">
        <f t="shared" si="40"/>
        <v>27.331630413659056</v>
      </c>
      <c r="AU75" s="78">
        <f t="shared" si="37"/>
        <v>60.12958691004993</v>
      </c>
      <c r="AV75" s="78">
        <f t="shared" si="41"/>
        <v>8.1994891240977168</v>
      </c>
      <c r="AW75" s="79">
        <f t="shared" si="42"/>
        <v>1643.1533242812263</v>
      </c>
      <c r="AX75" s="79">
        <f t="shared" si="43"/>
        <v>16431.533242812264</v>
      </c>
      <c r="AY75" s="30"/>
      <c r="AZ75" s="1"/>
    </row>
    <row r="76" spans="1:53" x14ac:dyDescent="0.25">
      <c r="A76" s="47" t="s">
        <v>231</v>
      </c>
      <c r="B76" s="47"/>
      <c r="C76" s="48">
        <v>10</v>
      </c>
      <c r="D76" s="48">
        <v>37.1</v>
      </c>
      <c r="E76" s="48">
        <v>76.8</v>
      </c>
      <c r="F76" s="48">
        <v>3.5</v>
      </c>
      <c r="G76" s="48">
        <v>7.4</v>
      </c>
      <c r="H76" s="80">
        <f>'Fiber_Ash Inputs'!V49</f>
        <v>35.6</v>
      </c>
      <c r="I76" s="80">
        <f>'Fiber_Ash Inputs'!W49</f>
        <v>64.2</v>
      </c>
      <c r="J76" s="80">
        <f>'Fiber_Ash Inputs'!X49</f>
        <v>7.9</v>
      </c>
      <c r="K76" s="80">
        <f>'Fiber_Ash Inputs'!U49</f>
        <v>3</v>
      </c>
      <c r="L76" s="76">
        <f t="shared" si="15"/>
        <v>24.35079535546226</v>
      </c>
      <c r="M76" s="76">
        <f t="shared" si="16"/>
        <v>94.616843393682686</v>
      </c>
      <c r="N76" s="76">
        <f t="shared" si="2"/>
        <v>22.191011235955056</v>
      </c>
      <c r="O76" s="76">
        <f t="shared" si="17"/>
        <v>22.191011235955056</v>
      </c>
      <c r="P76" s="76">
        <f>(100*((LN((100-O76)-I76)-4.6052)/-'Fiber_Ash Inputs'!$D$17))*'Fiber_Ash Inputs'!$C$17</f>
        <v>7.3869240261072449</v>
      </c>
      <c r="Q76" s="76">
        <f t="shared" si="18"/>
        <v>58.830414718402729</v>
      </c>
      <c r="R76" s="76">
        <f>IF('Fiber_Ash Inputs'!$B$11=30,I76,IF('Fiber_Ash Inputs'!$B$11=48,I76*0.926))</f>
        <v>64.2</v>
      </c>
      <c r="S76" s="76">
        <f t="shared" si="3"/>
        <v>5.6980000000000004</v>
      </c>
      <c r="T76" s="76">
        <f t="shared" si="4"/>
        <v>1.7094</v>
      </c>
      <c r="U76" s="46">
        <f t="shared" si="5"/>
        <v>2.5</v>
      </c>
      <c r="V76" s="77">
        <f t="shared" si="6"/>
        <v>14.399999999999997</v>
      </c>
      <c r="W76" s="76">
        <f t="shared" si="19"/>
        <v>4.5856445751997779</v>
      </c>
      <c r="X76" s="76">
        <f t="shared" si="20"/>
        <v>2.8283731001045389</v>
      </c>
      <c r="Y76" s="76">
        <f t="shared" si="21"/>
        <v>1.4298208821942155</v>
      </c>
      <c r="Z76" s="76">
        <f t="shared" si="7"/>
        <v>3.4787109692996374</v>
      </c>
      <c r="AA76" s="76">
        <f t="shared" si="8"/>
        <v>1.0436132907898912</v>
      </c>
      <c r="AB76" s="76">
        <f t="shared" si="22"/>
        <v>3.5106375837640469</v>
      </c>
      <c r="AC76" s="76">
        <f t="shared" si="23"/>
        <v>2.1952587200950457</v>
      </c>
      <c r="AD76" s="76">
        <f t="shared" si="24"/>
        <v>15.518325182771083</v>
      </c>
      <c r="AE76" s="76">
        <f t="shared" si="25"/>
        <v>3.2733558347128535</v>
      </c>
      <c r="AF76" s="46">
        <f t="shared" si="26"/>
        <v>6.0000000000000005E-2</v>
      </c>
      <c r="AG76" s="76">
        <f t="shared" si="27"/>
        <v>0.42414112853447733</v>
      </c>
      <c r="AH76" s="76">
        <f t="shared" si="38"/>
        <v>0.82301469114619663</v>
      </c>
      <c r="AI76" s="50">
        <f t="shared" si="9"/>
        <v>339.84845660228433</v>
      </c>
      <c r="AJ76" s="76">
        <f t="shared" si="28"/>
        <v>0.18154012004763848</v>
      </c>
      <c r="AK76" s="76">
        <f t="shared" si="29"/>
        <v>0.28296826901575345</v>
      </c>
      <c r="AL76" s="76">
        <f t="shared" si="30"/>
        <v>2.8088474456494614</v>
      </c>
      <c r="AM76" s="76">
        <f t="shared" si="31"/>
        <v>1.8538393141286447</v>
      </c>
      <c r="AN76" s="76">
        <f t="shared" si="39"/>
        <v>33.538450980075311</v>
      </c>
      <c r="AO76" s="76">
        <f t="shared" si="32"/>
        <v>0.2972717251180757</v>
      </c>
      <c r="AP76" s="78">
        <f t="shared" si="11"/>
        <v>9.9700331806350047</v>
      </c>
      <c r="AQ76" s="78">
        <f t="shared" si="33"/>
        <v>0.36478003799043229</v>
      </c>
      <c r="AR76" s="78">
        <f t="shared" si="34"/>
        <v>13.473017811668925</v>
      </c>
      <c r="AS76" s="78">
        <f t="shared" si="35"/>
        <v>29.640639185671635</v>
      </c>
      <c r="AT76" s="78">
        <f t="shared" si="40"/>
        <v>27.331630413659056</v>
      </c>
      <c r="AU76" s="78">
        <f t="shared" si="37"/>
        <v>60.12958691004993</v>
      </c>
      <c r="AV76" s="78">
        <f t="shared" si="41"/>
        <v>8.1994891240977168</v>
      </c>
      <c r="AW76" s="79">
        <f t="shared" si="42"/>
        <v>1643.1533242812263</v>
      </c>
      <c r="AX76" s="79">
        <f t="shared" si="43"/>
        <v>16431.533242812264</v>
      </c>
      <c r="AY76" s="30"/>
      <c r="AZ76" s="1"/>
    </row>
    <row r="77" spans="1:53" x14ac:dyDescent="0.25">
      <c r="A77" s="47" t="s">
        <v>232</v>
      </c>
      <c r="B77" s="47"/>
      <c r="C77" s="48">
        <v>10</v>
      </c>
      <c r="D77" s="48">
        <v>37.1</v>
      </c>
      <c r="E77" s="48">
        <v>76.8</v>
      </c>
      <c r="F77" s="48">
        <v>3.5</v>
      </c>
      <c r="G77" s="48">
        <v>7.4</v>
      </c>
      <c r="H77" s="80">
        <f>'Fiber_Ash Inputs'!V50</f>
        <v>35.6</v>
      </c>
      <c r="I77" s="80">
        <f>'Fiber_Ash Inputs'!W50</f>
        <v>64.2</v>
      </c>
      <c r="J77" s="80">
        <f>'Fiber_Ash Inputs'!X50</f>
        <v>7.9</v>
      </c>
      <c r="K77" s="80">
        <f>'Fiber_Ash Inputs'!U50</f>
        <v>3</v>
      </c>
      <c r="L77" s="76">
        <f t="shared" si="15"/>
        <v>24.35079535546226</v>
      </c>
      <c r="M77" s="76">
        <f t="shared" si="16"/>
        <v>94.616843393682686</v>
      </c>
      <c r="N77" s="76">
        <f t="shared" si="2"/>
        <v>22.191011235955056</v>
      </c>
      <c r="O77" s="76">
        <f t="shared" si="17"/>
        <v>22.191011235955056</v>
      </c>
      <c r="P77" s="76">
        <f>(100*((LN((100-O77)-I77)-4.6052)/-'Fiber_Ash Inputs'!$D$17))*'Fiber_Ash Inputs'!$C$17</f>
        <v>7.3869240261072449</v>
      </c>
      <c r="Q77" s="76">
        <f t="shared" si="18"/>
        <v>58.830414718402729</v>
      </c>
      <c r="R77" s="76">
        <f>IF('Fiber_Ash Inputs'!$B$11=30,I77,IF('Fiber_Ash Inputs'!$B$11=48,I77*0.926))</f>
        <v>64.2</v>
      </c>
      <c r="S77" s="76">
        <f t="shared" si="3"/>
        <v>5.6980000000000004</v>
      </c>
      <c r="T77" s="76">
        <f t="shared" si="4"/>
        <v>1.7094</v>
      </c>
      <c r="U77" s="46">
        <f t="shared" si="5"/>
        <v>2.5</v>
      </c>
      <c r="V77" s="77">
        <f t="shared" si="6"/>
        <v>14.399999999999997</v>
      </c>
      <c r="W77" s="76">
        <f t="shared" si="19"/>
        <v>4.5856445751997779</v>
      </c>
      <c r="X77" s="76">
        <f t="shared" si="20"/>
        <v>2.8283731001045389</v>
      </c>
      <c r="Y77" s="76">
        <f t="shared" si="21"/>
        <v>1.4298208821942155</v>
      </c>
      <c r="Z77" s="76">
        <f t="shared" si="7"/>
        <v>3.4787109692996374</v>
      </c>
      <c r="AA77" s="76">
        <f t="shared" si="8"/>
        <v>1.0436132907898912</v>
      </c>
      <c r="AB77" s="76">
        <f t="shared" si="22"/>
        <v>3.5106375837640469</v>
      </c>
      <c r="AC77" s="76">
        <f t="shared" si="23"/>
        <v>2.1952587200950457</v>
      </c>
      <c r="AD77" s="76">
        <f t="shared" si="24"/>
        <v>15.518325182771083</v>
      </c>
      <c r="AE77" s="76">
        <f t="shared" si="25"/>
        <v>3.2733558347128535</v>
      </c>
      <c r="AF77" s="46">
        <f t="shared" si="26"/>
        <v>6.0000000000000005E-2</v>
      </c>
      <c r="AG77" s="76">
        <f t="shared" si="27"/>
        <v>0.42414112853447733</v>
      </c>
      <c r="AH77" s="76">
        <f t="shared" si="38"/>
        <v>0.82301469114619663</v>
      </c>
      <c r="AI77" s="50">
        <f t="shared" si="9"/>
        <v>339.84845660228433</v>
      </c>
      <c r="AJ77" s="76">
        <f t="shared" si="28"/>
        <v>0.18154012004763848</v>
      </c>
      <c r="AK77" s="76">
        <f t="shared" si="29"/>
        <v>0.28296826901575345</v>
      </c>
      <c r="AL77" s="76">
        <f t="shared" si="30"/>
        <v>2.8088474456494614</v>
      </c>
      <c r="AM77" s="76">
        <f t="shared" si="31"/>
        <v>1.8538393141286447</v>
      </c>
      <c r="AN77" s="76">
        <f t="shared" si="39"/>
        <v>33.538450980075311</v>
      </c>
      <c r="AO77" s="76">
        <f t="shared" si="32"/>
        <v>0.2972717251180757</v>
      </c>
      <c r="AP77" s="78">
        <f t="shared" si="11"/>
        <v>9.9700331806350047</v>
      </c>
      <c r="AQ77" s="78">
        <f t="shared" si="33"/>
        <v>0.36478003799043229</v>
      </c>
      <c r="AR77" s="78">
        <f t="shared" si="34"/>
        <v>13.473017811668925</v>
      </c>
      <c r="AS77" s="78">
        <f t="shared" si="35"/>
        <v>29.640639185671635</v>
      </c>
      <c r="AT77" s="78">
        <f t="shared" si="40"/>
        <v>27.331630413659056</v>
      </c>
      <c r="AU77" s="78">
        <f t="shared" si="37"/>
        <v>60.12958691004993</v>
      </c>
      <c r="AV77" s="78">
        <f t="shared" si="41"/>
        <v>8.1994891240977168</v>
      </c>
      <c r="AW77" s="79">
        <f t="shared" si="42"/>
        <v>1643.1533242812263</v>
      </c>
      <c r="AX77" s="79">
        <f t="shared" si="43"/>
        <v>16431.533242812264</v>
      </c>
      <c r="AY77" s="30"/>
      <c r="AZ77" s="1"/>
    </row>
    <row r="78" spans="1:53" x14ac:dyDescent="0.25">
      <c r="A78" s="47" t="s">
        <v>233</v>
      </c>
      <c r="B78" s="47"/>
      <c r="C78" s="48">
        <v>10</v>
      </c>
      <c r="D78" s="48">
        <v>37.1</v>
      </c>
      <c r="E78" s="48">
        <v>76.8</v>
      </c>
      <c r="F78" s="48">
        <v>3.5</v>
      </c>
      <c r="G78" s="48">
        <v>7.4</v>
      </c>
      <c r="H78" s="80">
        <f>'Fiber_Ash Inputs'!V51</f>
        <v>35.6</v>
      </c>
      <c r="I78" s="80">
        <f>'Fiber_Ash Inputs'!W51</f>
        <v>64.2</v>
      </c>
      <c r="J78" s="80">
        <f>'Fiber_Ash Inputs'!X51</f>
        <v>7.9</v>
      </c>
      <c r="K78" s="80">
        <f>'Fiber_Ash Inputs'!U51</f>
        <v>3</v>
      </c>
      <c r="L78" s="76">
        <f t="shared" si="15"/>
        <v>24.35079535546226</v>
      </c>
      <c r="M78" s="76">
        <f t="shared" si="16"/>
        <v>94.616843393682686</v>
      </c>
      <c r="N78" s="76">
        <f t="shared" si="2"/>
        <v>22.191011235955056</v>
      </c>
      <c r="O78" s="76">
        <f t="shared" si="17"/>
        <v>22.191011235955056</v>
      </c>
      <c r="P78" s="76">
        <f>(100*((LN((100-O78)-I78)-4.6052)/-'Fiber_Ash Inputs'!$D$17))*'Fiber_Ash Inputs'!$C$17</f>
        <v>7.3869240261072449</v>
      </c>
      <c r="Q78" s="76">
        <f t="shared" si="18"/>
        <v>58.830414718402729</v>
      </c>
      <c r="R78" s="76">
        <f>IF('Fiber_Ash Inputs'!$B$11=30,I78,IF('Fiber_Ash Inputs'!$B$11=48,I78*0.926))</f>
        <v>64.2</v>
      </c>
      <c r="S78" s="76">
        <f t="shared" si="3"/>
        <v>5.6980000000000004</v>
      </c>
      <c r="T78" s="76">
        <f t="shared" si="4"/>
        <v>1.7094</v>
      </c>
      <c r="U78" s="46">
        <f t="shared" si="5"/>
        <v>2.5</v>
      </c>
      <c r="V78" s="77">
        <f t="shared" si="6"/>
        <v>14.399999999999997</v>
      </c>
      <c r="W78" s="76">
        <f t="shared" si="19"/>
        <v>4.5856445751997779</v>
      </c>
      <c r="X78" s="76">
        <f t="shared" si="20"/>
        <v>2.8283731001045389</v>
      </c>
      <c r="Y78" s="76">
        <f t="shared" si="21"/>
        <v>1.4298208821942155</v>
      </c>
      <c r="Z78" s="76">
        <f t="shared" si="7"/>
        <v>3.4787109692996374</v>
      </c>
      <c r="AA78" s="76">
        <f t="shared" si="8"/>
        <v>1.0436132907898912</v>
      </c>
      <c r="AB78" s="76">
        <f t="shared" si="22"/>
        <v>3.5106375837640469</v>
      </c>
      <c r="AC78" s="76">
        <f t="shared" si="23"/>
        <v>2.1952587200950457</v>
      </c>
      <c r="AD78" s="76">
        <f t="shared" si="24"/>
        <v>15.518325182771083</v>
      </c>
      <c r="AE78" s="76">
        <f t="shared" si="25"/>
        <v>3.2733558347128535</v>
      </c>
      <c r="AF78" s="46">
        <f t="shared" si="26"/>
        <v>6.0000000000000005E-2</v>
      </c>
      <c r="AG78" s="76">
        <f t="shared" si="27"/>
        <v>0.42414112853447733</v>
      </c>
      <c r="AH78" s="76">
        <f t="shared" si="38"/>
        <v>0.82301469114619663</v>
      </c>
      <c r="AI78" s="50">
        <f t="shared" si="9"/>
        <v>339.84845660228433</v>
      </c>
      <c r="AJ78" s="76">
        <f t="shared" si="28"/>
        <v>0.18154012004763848</v>
      </c>
      <c r="AK78" s="76">
        <f t="shared" si="29"/>
        <v>0.28296826901575345</v>
      </c>
      <c r="AL78" s="76">
        <f t="shared" si="30"/>
        <v>2.8088474456494614</v>
      </c>
      <c r="AM78" s="76">
        <f t="shared" si="31"/>
        <v>1.8538393141286447</v>
      </c>
      <c r="AN78" s="76">
        <f t="shared" si="39"/>
        <v>33.538450980075311</v>
      </c>
      <c r="AO78" s="76">
        <f t="shared" si="32"/>
        <v>0.2972717251180757</v>
      </c>
      <c r="AP78" s="78">
        <f t="shared" si="11"/>
        <v>9.9700331806350047</v>
      </c>
      <c r="AQ78" s="78">
        <f t="shared" si="33"/>
        <v>0.36478003799043229</v>
      </c>
      <c r="AR78" s="78">
        <f t="shared" si="34"/>
        <v>13.473017811668925</v>
      </c>
      <c r="AS78" s="78">
        <f t="shared" si="35"/>
        <v>29.640639185671635</v>
      </c>
      <c r="AT78" s="78">
        <f t="shared" si="40"/>
        <v>27.331630413659056</v>
      </c>
      <c r="AU78" s="78">
        <f t="shared" si="37"/>
        <v>60.12958691004993</v>
      </c>
      <c r="AV78" s="78">
        <f t="shared" si="41"/>
        <v>8.1994891240977168</v>
      </c>
      <c r="AW78" s="79">
        <f t="shared" si="42"/>
        <v>1643.1533242812263</v>
      </c>
      <c r="AX78" s="79">
        <f t="shared" si="43"/>
        <v>16431.533242812264</v>
      </c>
      <c r="AY78" s="30"/>
      <c r="AZ78" s="1"/>
    </row>
    <row r="79" spans="1:53" x14ac:dyDescent="0.25">
      <c r="A79" s="47" t="s">
        <v>234</v>
      </c>
      <c r="B79" s="47"/>
      <c r="C79" s="48">
        <v>10</v>
      </c>
      <c r="D79" s="48">
        <v>37.1</v>
      </c>
      <c r="E79" s="48">
        <v>76.8</v>
      </c>
      <c r="F79" s="48">
        <v>3.5</v>
      </c>
      <c r="G79" s="48">
        <v>7.4</v>
      </c>
      <c r="H79" s="80">
        <f>'Fiber_Ash Inputs'!V52</f>
        <v>35.6</v>
      </c>
      <c r="I79" s="80">
        <f>'Fiber_Ash Inputs'!W52</f>
        <v>64.2</v>
      </c>
      <c r="J79" s="80">
        <f>'Fiber_Ash Inputs'!X52</f>
        <v>7.9</v>
      </c>
      <c r="K79" s="80">
        <f>'Fiber_Ash Inputs'!U52</f>
        <v>3</v>
      </c>
      <c r="L79" s="76">
        <f t="shared" si="15"/>
        <v>24.35079535546226</v>
      </c>
      <c r="M79" s="76">
        <f t="shared" si="16"/>
        <v>94.616843393682686</v>
      </c>
      <c r="N79" s="76">
        <f t="shared" si="2"/>
        <v>22.191011235955056</v>
      </c>
      <c r="O79" s="76">
        <f t="shared" si="17"/>
        <v>22.191011235955056</v>
      </c>
      <c r="P79" s="76">
        <f>(100*((LN((100-O79)-I79)-4.6052)/-'Fiber_Ash Inputs'!$D$17))*'Fiber_Ash Inputs'!$C$17</f>
        <v>7.3869240261072449</v>
      </c>
      <c r="Q79" s="76">
        <f t="shared" si="18"/>
        <v>58.830414718402729</v>
      </c>
      <c r="R79" s="76">
        <f>IF('Fiber_Ash Inputs'!$B$11=30,I79,IF('Fiber_Ash Inputs'!$B$11=48,I79*0.926))</f>
        <v>64.2</v>
      </c>
      <c r="S79" s="76">
        <f t="shared" si="3"/>
        <v>5.6980000000000004</v>
      </c>
      <c r="T79" s="76">
        <f t="shared" si="4"/>
        <v>1.7094</v>
      </c>
      <c r="U79" s="46">
        <f t="shared" si="5"/>
        <v>2.5</v>
      </c>
      <c r="V79" s="77">
        <f t="shared" si="6"/>
        <v>14.399999999999997</v>
      </c>
      <c r="W79" s="76">
        <f t="shared" si="19"/>
        <v>4.5856445751997779</v>
      </c>
      <c r="X79" s="76">
        <f t="shared" si="20"/>
        <v>2.8283731001045389</v>
      </c>
      <c r="Y79" s="76">
        <f t="shared" si="21"/>
        <v>1.4298208821942155</v>
      </c>
      <c r="Z79" s="76">
        <f t="shared" si="7"/>
        <v>3.4787109692996374</v>
      </c>
      <c r="AA79" s="76">
        <f t="shared" si="8"/>
        <v>1.0436132907898912</v>
      </c>
      <c r="AB79" s="76">
        <f t="shared" si="22"/>
        <v>3.5106375837640469</v>
      </c>
      <c r="AC79" s="76">
        <f t="shared" si="23"/>
        <v>2.1952587200950457</v>
      </c>
      <c r="AD79" s="76">
        <f t="shared" si="24"/>
        <v>15.518325182771083</v>
      </c>
      <c r="AE79" s="76">
        <f t="shared" si="25"/>
        <v>3.2733558347128535</v>
      </c>
      <c r="AF79" s="46">
        <f t="shared" si="26"/>
        <v>6.0000000000000005E-2</v>
      </c>
      <c r="AG79" s="76">
        <f t="shared" si="27"/>
        <v>0.42414112853447733</v>
      </c>
      <c r="AH79" s="76">
        <f t="shared" si="38"/>
        <v>0.82301469114619663</v>
      </c>
      <c r="AI79" s="50">
        <f t="shared" si="9"/>
        <v>339.84845660228433</v>
      </c>
      <c r="AJ79" s="76">
        <f t="shared" si="28"/>
        <v>0.18154012004763848</v>
      </c>
      <c r="AK79" s="76">
        <f t="shared" si="29"/>
        <v>0.28296826901575345</v>
      </c>
      <c r="AL79" s="76">
        <f t="shared" si="30"/>
        <v>2.8088474456494614</v>
      </c>
      <c r="AM79" s="76">
        <f t="shared" si="31"/>
        <v>1.8538393141286447</v>
      </c>
      <c r="AN79" s="76">
        <f t="shared" si="39"/>
        <v>33.538450980075311</v>
      </c>
      <c r="AO79" s="76">
        <f t="shared" si="32"/>
        <v>0.2972717251180757</v>
      </c>
      <c r="AP79" s="78">
        <f t="shared" si="11"/>
        <v>9.9700331806350047</v>
      </c>
      <c r="AQ79" s="78">
        <f t="shared" si="33"/>
        <v>0.36478003799043229</v>
      </c>
      <c r="AR79" s="78">
        <f t="shared" si="34"/>
        <v>13.473017811668925</v>
      </c>
      <c r="AS79" s="78">
        <f t="shared" si="35"/>
        <v>29.640639185671635</v>
      </c>
      <c r="AT79" s="78">
        <f t="shared" si="40"/>
        <v>27.331630413659056</v>
      </c>
      <c r="AU79" s="78">
        <f t="shared" si="37"/>
        <v>60.12958691004993</v>
      </c>
      <c r="AV79" s="78">
        <f t="shared" si="41"/>
        <v>8.1994891240977168</v>
      </c>
      <c r="AW79" s="79">
        <f t="shared" si="42"/>
        <v>1643.1533242812263</v>
      </c>
      <c r="AX79" s="79">
        <f t="shared" si="43"/>
        <v>16431.533242812264</v>
      </c>
      <c r="AY79" s="30"/>
      <c r="AZ79" s="1"/>
    </row>
    <row r="80" spans="1:53" x14ac:dyDescent="0.25">
      <c r="A80" s="47" t="s">
        <v>235</v>
      </c>
      <c r="B80" s="47"/>
      <c r="C80" s="48">
        <v>10</v>
      </c>
      <c r="D80" s="48">
        <v>37.1</v>
      </c>
      <c r="E80" s="48">
        <v>76.8</v>
      </c>
      <c r="F80" s="48">
        <v>3.5</v>
      </c>
      <c r="G80" s="48">
        <v>7.4</v>
      </c>
      <c r="H80" s="80">
        <f>'Fiber_Ash Inputs'!V53</f>
        <v>35.6</v>
      </c>
      <c r="I80" s="80">
        <f>'Fiber_Ash Inputs'!W53</f>
        <v>64.2</v>
      </c>
      <c r="J80" s="80">
        <f>'Fiber_Ash Inputs'!X53</f>
        <v>7.9</v>
      </c>
      <c r="K80" s="80">
        <f>'Fiber_Ash Inputs'!U53</f>
        <v>3</v>
      </c>
      <c r="L80" s="76">
        <f t="shared" si="15"/>
        <v>24.35079535546226</v>
      </c>
      <c r="M80" s="76">
        <f t="shared" si="16"/>
        <v>94.616843393682686</v>
      </c>
      <c r="N80" s="76">
        <f t="shared" si="2"/>
        <v>22.191011235955056</v>
      </c>
      <c r="O80" s="76">
        <f t="shared" si="17"/>
        <v>22.191011235955056</v>
      </c>
      <c r="P80" s="76">
        <f>(100*((LN((100-O80)-I80)-4.6052)/-'Fiber_Ash Inputs'!$D$17))*'Fiber_Ash Inputs'!$C$17</f>
        <v>7.3869240261072449</v>
      </c>
      <c r="Q80" s="76">
        <f t="shared" si="18"/>
        <v>58.830414718402729</v>
      </c>
      <c r="R80" s="76">
        <f>IF('Fiber_Ash Inputs'!$B$11=30,I80,IF('Fiber_Ash Inputs'!$B$11=48,I80*0.926))</f>
        <v>64.2</v>
      </c>
      <c r="S80" s="76">
        <f t="shared" si="3"/>
        <v>5.6980000000000004</v>
      </c>
      <c r="T80" s="76">
        <f t="shared" si="4"/>
        <v>1.7094</v>
      </c>
      <c r="U80" s="46">
        <f t="shared" si="5"/>
        <v>2.5</v>
      </c>
      <c r="V80" s="77">
        <f t="shared" si="6"/>
        <v>14.399999999999997</v>
      </c>
      <c r="W80" s="76">
        <f t="shared" si="19"/>
        <v>4.5856445751997779</v>
      </c>
      <c r="X80" s="76">
        <f t="shared" si="20"/>
        <v>2.8283731001045389</v>
      </c>
      <c r="Y80" s="76">
        <f t="shared" si="21"/>
        <v>1.4298208821942155</v>
      </c>
      <c r="Z80" s="76">
        <f t="shared" si="7"/>
        <v>3.4787109692996374</v>
      </c>
      <c r="AA80" s="76">
        <f t="shared" si="8"/>
        <v>1.0436132907898912</v>
      </c>
      <c r="AB80" s="76">
        <f t="shared" si="22"/>
        <v>3.5106375837640469</v>
      </c>
      <c r="AC80" s="76">
        <f t="shared" si="23"/>
        <v>2.1952587200950457</v>
      </c>
      <c r="AD80" s="76">
        <f t="shared" si="24"/>
        <v>15.518325182771083</v>
      </c>
      <c r="AE80" s="76">
        <f t="shared" si="25"/>
        <v>3.2733558347128535</v>
      </c>
      <c r="AF80" s="46">
        <f t="shared" si="26"/>
        <v>6.0000000000000005E-2</v>
      </c>
      <c r="AG80" s="76">
        <f t="shared" si="27"/>
        <v>0.42414112853447733</v>
      </c>
      <c r="AH80" s="76">
        <f t="shared" si="38"/>
        <v>0.82301469114619663</v>
      </c>
      <c r="AI80" s="50">
        <f t="shared" si="9"/>
        <v>339.84845660228433</v>
      </c>
      <c r="AJ80" s="76">
        <f t="shared" si="28"/>
        <v>0.18154012004763848</v>
      </c>
      <c r="AK80" s="76">
        <f t="shared" si="29"/>
        <v>0.28296826901575345</v>
      </c>
      <c r="AL80" s="76">
        <f t="shared" si="30"/>
        <v>2.8088474456494614</v>
      </c>
      <c r="AM80" s="76">
        <f t="shared" si="31"/>
        <v>1.8538393141286447</v>
      </c>
      <c r="AN80" s="76">
        <f t="shared" si="39"/>
        <v>33.538450980075311</v>
      </c>
      <c r="AO80" s="76">
        <f t="shared" si="32"/>
        <v>0.2972717251180757</v>
      </c>
      <c r="AP80" s="78">
        <f t="shared" si="11"/>
        <v>9.9700331806350047</v>
      </c>
      <c r="AQ80" s="78">
        <f t="shared" si="33"/>
        <v>0.36478003799043229</v>
      </c>
      <c r="AR80" s="78">
        <f t="shared" si="34"/>
        <v>13.473017811668925</v>
      </c>
      <c r="AS80" s="78">
        <f t="shared" si="35"/>
        <v>29.640639185671635</v>
      </c>
      <c r="AT80" s="78">
        <f t="shared" si="40"/>
        <v>27.331630413659056</v>
      </c>
      <c r="AU80" s="78">
        <f t="shared" si="37"/>
        <v>60.12958691004993</v>
      </c>
      <c r="AV80" s="78">
        <f t="shared" si="41"/>
        <v>8.1994891240977168</v>
      </c>
      <c r="AW80" s="79">
        <f t="shared" si="42"/>
        <v>1643.1533242812263</v>
      </c>
      <c r="AX80" s="79">
        <f t="shared" si="43"/>
        <v>16431.533242812264</v>
      </c>
      <c r="AY80" s="30"/>
      <c r="AZ80" s="1"/>
    </row>
    <row r="81" spans="1:52" x14ac:dyDescent="0.25">
      <c r="A81" s="47" t="s">
        <v>236</v>
      </c>
      <c r="B81" s="47"/>
      <c r="C81" s="48">
        <v>10</v>
      </c>
      <c r="D81" s="48">
        <v>37.1</v>
      </c>
      <c r="E81" s="48">
        <v>76.8</v>
      </c>
      <c r="F81" s="48">
        <v>3.5</v>
      </c>
      <c r="G81" s="48">
        <v>7.4</v>
      </c>
      <c r="H81" s="80">
        <f>'Fiber_Ash Inputs'!V54</f>
        <v>35.6</v>
      </c>
      <c r="I81" s="80">
        <f>'Fiber_Ash Inputs'!W54</f>
        <v>64.2</v>
      </c>
      <c r="J81" s="80">
        <f>'Fiber_Ash Inputs'!X54</f>
        <v>7.9</v>
      </c>
      <c r="K81" s="80">
        <f>'Fiber_Ash Inputs'!U54</f>
        <v>3</v>
      </c>
      <c r="L81" s="76">
        <f t="shared" si="15"/>
        <v>24.35079535546226</v>
      </c>
      <c r="M81" s="76">
        <f t="shared" si="16"/>
        <v>94.616843393682686</v>
      </c>
      <c r="N81" s="76">
        <f t="shared" si="2"/>
        <v>22.191011235955056</v>
      </c>
      <c r="O81" s="76">
        <f t="shared" si="17"/>
        <v>22.191011235955056</v>
      </c>
      <c r="P81" s="76">
        <f>(100*((LN((100-O81)-I81)-4.6052)/-'Fiber_Ash Inputs'!$D$17))*'Fiber_Ash Inputs'!$C$17</f>
        <v>7.3869240261072449</v>
      </c>
      <c r="Q81" s="76">
        <f t="shared" si="18"/>
        <v>58.830414718402729</v>
      </c>
      <c r="R81" s="76">
        <f>IF('Fiber_Ash Inputs'!$B$11=30,I81,IF('Fiber_Ash Inputs'!$B$11=48,I81*0.926))</f>
        <v>64.2</v>
      </c>
      <c r="S81" s="76">
        <f t="shared" si="3"/>
        <v>5.6980000000000004</v>
      </c>
      <c r="T81" s="76">
        <f t="shared" si="4"/>
        <v>1.7094</v>
      </c>
      <c r="U81" s="46">
        <f t="shared" si="5"/>
        <v>2.5</v>
      </c>
      <c r="V81" s="77">
        <f t="shared" si="6"/>
        <v>14.399999999999997</v>
      </c>
      <c r="W81" s="76">
        <f t="shared" si="19"/>
        <v>4.5856445751997779</v>
      </c>
      <c r="X81" s="76">
        <f t="shared" si="20"/>
        <v>2.8283731001045389</v>
      </c>
      <c r="Y81" s="76">
        <f t="shared" si="21"/>
        <v>1.4298208821942155</v>
      </c>
      <c r="Z81" s="76">
        <f t="shared" si="7"/>
        <v>3.4787109692996374</v>
      </c>
      <c r="AA81" s="76">
        <f t="shared" si="8"/>
        <v>1.0436132907898912</v>
      </c>
      <c r="AB81" s="76">
        <f t="shared" si="22"/>
        <v>3.5106375837640469</v>
      </c>
      <c r="AC81" s="76">
        <f t="shared" si="23"/>
        <v>2.1952587200950457</v>
      </c>
      <c r="AD81" s="76">
        <f t="shared" si="24"/>
        <v>15.518325182771083</v>
      </c>
      <c r="AE81" s="76">
        <f t="shared" si="25"/>
        <v>3.2733558347128535</v>
      </c>
      <c r="AF81" s="46">
        <f t="shared" si="26"/>
        <v>6.0000000000000005E-2</v>
      </c>
      <c r="AG81" s="76">
        <f t="shared" si="27"/>
        <v>0.42414112853447733</v>
      </c>
      <c r="AH81" s="76">
        <f t="shared" si="38"/>
        <v>0.82301469114619663</v>
      </c>
      <c r="AI81" s="50">
        <f t="shared" si="9"/>
        <v>339.84845660228433</v>
      </c>
      <c r="AJ81" s="76">
        <f t="shared" si="28"/>
        <v>0.18154012004763848</v>
      </c>
      <c r="AK81" s="76">
        <f t="shared" si="29"/>
        <v>0.28296826901575345</v>
      </c>
      <c r="AL81" s="76">
        <f t="shared" si="30"/>
        <v>2.8088474456494614</v>
      </c>
      <c r="AM81" s="76">
        <f t="shared" si="31"/>
        <v>1.8538393141286447</v>
      </c>
      <c r="AN81" s="76">
        <f t="shared" si="39"/>
        <v>33.538450980075311</v>
      </c>
      <c r="AO81" s="76">
        <f t="shared" si="32"/>
        <v>0.2972717251180757</v>
      </c>
      <c r="AP81" s="78">
        <f t="shared" si="11"/>
        <v>9.9700331806350047</v>
      </c>
      <c r="AQ81" s="78">
        <f t="shared" si="33"/>
        <v>0.36478003799043229</v>
      </c>
      <c r="AR81" s="78">
        <f t="shared" si="34"/>
        <v>13.473017811668925</v>
      </c>
      <c r="AS81" s="78">
        <f t="shared" si="35"/>
        <v>29.640639185671635</v>
      </c>
      <c r="AT81" s="78">
        <f t="shared" si="40"/>
        <v>27.331630413659056</v>
      </c>
      <c r="AU81" s="78">
        <f t="shared" si="37"/>
        <v>60.12958691004993</v>
      </c>
      <c r="AV81" s="78">
        <f t="shared" si="41"/>
        <v>8.1994891240977168</v>
      </c>
      <c r="AW81" s="79">
        <f t="shared" si="42"/>
        <v>1643.1533242812263</v>
      </c>
      <c r="AX81" s="79">
        <f t="shared" si="43"/>
        <v>16431.533242812264</v>
      </c>
      <c r="AY81" s="30"/>
      <c r="AZ81" s="1"/>
    </row>
    <row r="82" spans="1:52" x14ac:dyDescent="0.25">
      <c r="A82" s="47" t="s">
        <v>237</v>
      </c>
      <c r="B82" s="47"/>
      <c r="C82" s="48">
        <v>10</v>
      </c>
      <c r="D82" s="48">
        <v>37.1</v>
      </c>
      <c r="E82" s="48">
        <v>76.8</v>
      </c>
      <c r="F82" s="48">
        <v>3.5</v>
      </c>
      <c r="G82" s="48">
        <v>7.4</v>
      </c>
      <c r="H82" s="80">
        <f>'Fiber_Ash Inputs'!V55</f>
        <v>35.6</v>
      </c>
      <c r="I82" s="80">
        <f>'Fiber_Ash Inputs'!W55</f>
        <v>64.2</v>
      </c>
      <c r="J82" s="80">
        <f>'Fiber_Ash Inputs'!X55</f>
        <v>7.9</v>
      </c>
      <c r="K82" s="80">
        <f>'Fiber_Ash Inputs'!U55</f>
        <v>3</v>
      </c>
      <c r="L82" s="76">
        <f t="shared" si="15"/>
        <v>24.35079535546226</v>
      </c>
      <c r="M82" s="76">
        <f t="shared" si="16"/>
        <v>94.616843393682686</v>
      </c>
      <c r="N82" s="76">
        <f t="shared" si="2"/>
        <v>22.191011235955056</v>
      </c>
      <c r="O82" s="76">
        <f t="shared" si="17"/>
        <v>22.191011235955056</v>
      </c>
      <c r="P82" s="76">
        <f>(100*((LN((100-O82)-I82)-4.6052)/-'Fiber_Ash Inputs'!$D$17))*'Fiber_Ash Inputs'!$C$17</f>
        <v>7.3869240261072449</v>
      </c>
      <c r="Q82" s="76">
        <f t="shared" si="18"/>
        <v>58.830414718402729</v>
      </c>
      <c r="R82" s="76">
        <f>IF('Fiber_Ash Inputs'!$B$11=30,I82,IF('Fiber_Ash Inputs'!$B$11=48,I82*0.926))</f>
        <v>64.2</v>
      </c>
      <c r="S82" s="76">
        <f t="shared" si="3"/>
        <v>5.6980000000000004</v>
      </c>
      <c r="T82" s="76">
        <f t="shared" si="4"/>
        <v>1.7094</v>
      </c>
      <c r="U82" s="46">
        <f t="shared" si="5"/>
        <v>2.5</v>
      </c>
      <c r="V82" s="77">
        <f t="shared" si="6"/>
        <v>14.399999999999997</v>
      </c>
      <c r="W82" s="76">
        <f t="shared" si="19"/>
        <v>4.5856445751997779</v>
      </c>
      <c r="X82" s="76">
        <f t="shared" si="20"/>
        <v>2.8283731001045389</v>
      </c>
      <c r="Y82" s="76">
        <f t="shared" si="21"/>
        <v>1.4298208821942155</v>
      </c>
      <c r="Z82" s="76">
        <f t="shared" si="7"/>
        <v>3.4787109692996374</v>
      </c>
      <c r="AA82" s="76">
        <f t="shared" si="8"/>
        <v>1.0436132907898912</v>
      </c>
      <c r="AB82" s="76">
        <f t="shared" si="22"/>
        <v>3.5106375837640469</v>
      </c>
      <c r="AC82" s="76">
        <f t="shared" si="23"/>
        <v>2.1952587200950457</v>
      </c>
      <c r="AD82" s="76">
        <f t="shared" si="24"/>
        <v>15.518325182771083</v>
      </c>
      <c r="AE82" s="76">
        <f t="shared" si="25"/>
        <v>3.2733558347128535</v>
      </c>
      <c r="AF82" s="46">
        <f t="shared" si="26"/>
        <v>6.0000000000000005E-2</v>
      </c>
      <c r="AG82" s="76">
        <f t="shared" si="27"/>
        <v>0.42414112853447733</v>
      </c>
      <c r="AH82" s="76">
        <f t="shared" si="38"/>
        <v>0.82301469114619663</v>
      </c>
      <c r="AI82" s="50">
        <f t="shared" si="9"/>
        <v>339.84845660228433</v>
      </c>
      <c r="AJ82" s="76">
        <f t="shared" si="28"/>
        <v>0.18154012004763848</v>
      </c>
      <c r="AK82" s="76">
        <f t="shared" si="29"/>
        <v>0.28296826901575345</v>
      </c>
      <c r="AL82" s="76">
        <f t="shared" si="30"/>
        <v>2.8088474456494614</v>
      </c>
      <c r="AM82" s="76">
        <f t="shared" si="31"/>
        <v>1.8538393141286447</v>
      </c>
      <c r="AN82" s="76">
        <f t="shared" si="39"/>
        <v>33.538450980075311</v>
      </c>
      <c r="AO82" s="76">
        <f t="shared" si="32"/>
        <v>0.2972717251180757</v>
      </c>
      <c r="AP82" s="78">
        <f t="shared" si="11"/>
        <v>9.9700331806350047</v>
      </c>
      <c r="AQ82" s="78">
        <f t="shared" si="33"/>
        <v>0.36478003799043229</v>
      </c>
      <c r="AR82" s="78">
        <f t="shared" si="34"/>
        <v>13.473017811668925</v>
      </c>
      <c r="AS82" s="78">
        <f t="shared" si="35"/>
        <v>29.640639185671635</v>
      </c>
      <c r="AT82" s="78">
        <f t="shared" si="40"/>
        <v>27.331630413659056</v>
      </c>
      <c r="AU82" s="78">
        <f t="shared" si="37"/>
        <v>60.12958691004993</v>
      </c>
      <c r="AV82" s="78">
        <f t="shared" si="41"/>
        <v>8.1994891240977168</v>
      </c>
      <c r="AW82" s="79">
        <f t="shared" si="42"/>
        <v>1643.1533242812263</v>
      </c>
      <c r="AX82" s="79">
        <f t="shared" si="43"/>
        <v>16431.533242812264</v>
      </c>
      <c r="AY82" s="30"/>
      <c r="AZ82" s="1"/>
    </row>
    <row r="83" spans="1:52" x14ac:dyDescent="0.25">
      <c r="A83" s="47" t="s">
        <v>238</v>
      </c>
      <c r="B83" s="47"/>
      <c r="C83" s="48">
        <v>10</v>
      </c>
      <c r="D83" s="48">
        <v>37.1</v>
      </c>
      <c r="E83" s="48">
        <v>76.8</v>
      </c>
      <c r="F83" s="48">
        <v>3.5</v>
      </c>
      <c r="G83" s="48">
        <v>7.4</v>
      </c>
      <c r="H83" s="80">
        <f>'Fiber_Ash Inputs'!V56</f>
        <v>35.6</v>
      </c>
      <c r="I83" s="80">
        <f>'Fiber_Ash Inputs'!W56</f>
        <v>64.2</v>
      </c>
      <c r="J83" s="80">
        <f>'Fiber_Ash Inputs'!X56</f>
        <v>7.9</v>
      </c>
      <c r="K83" s="80">
        <f>'Fiber_Ash Inputs'!U56</f>
        <v>3</v>
      </c>
      <c r="L83" s="76">
        <f t="shared" si="15"/>
        <v>24.35079535546226</v>
      </c>
      <c r="M83" s="76">
        <f t="shared" si="16"/>
        <v>94.616843393682686</v>
      </c>
      <c r="N83" s="76">
        <f t="shared" si="2"/>
        <v>22.191011235955056</v>
      </c>
      <c r="O83" s="76">
        <f t="shared" si="17"/>
        <v>22.191011235955056</v>
      </c>
      <c r="P83" s="76">
        <f>(100*((LN((100-O83)-I83)-4.6052)/-'Fiber_Ash Inputs'!$D$17))*'Fiber_Ash Inputs'!$C$17</f>
        <v>7.3869240261072449</v>
      </c>
      <c r="Q83" s="76">
        <f t="shared" si="18"/>
        <v>58.830414718402729</v>
      </c>
      <c r="R83" s="76">
        <f>IF('Fiber_Ash Inputs'!$B$11=30,I83,IF('Fiber_Ash Inputs'!$B$11=48,I83*0.926))</f>
        <v>64.2</v>
      </c>
      <c r="S83" s="76">
        <f t="shared" si="3"/>
        <v>5.6980000000000004</v>
      </c>
      <c r="T83" s="76">
        <f t="shared" si="4"/>
        <v>1.7094</v>
      </c>
      <c r="U83" s="46">
        <f t="shared" si="5"/>
        <v>2.5</v>
      </c>
      <c r="V83" s="77">
        <f t="shared" si="6"/>
        <v>14.399999999999997</v>
      </c>
      <c r="W83" s="76">
        <f t="shared" si="19"/>
        <v>4.5856445751997779</v>
      </c>
      <c r="X83" s="76">
        <f t="shared" si="20"/>
        <v>2.8283731001045389</v>
      </c>
      <c r="Y83" s="76">
        <f t="shared" si="21"/>
        <v>1.4298208821942155</v>
      </c>
      <c r="Z83" s="76">
        <f t="shared" si="7"/>
        <v>3.4787109692996374</v>
      </c>
      <c r="AA83" s="76">
        <f t="shared" si="8"/>
        <v>1.0436132907898912</v>
      </c>
      <c r="AB83" s="76">
        <f t="shared" si="22"/>
        <v>3.5106375837640469</v>
      </c>
      <c r="AC83" s="76">
        <f t="shared" si="23"/>
        <v>2.1952587200950457</v>
      </c>
      <c r="AD83" s="76">
        <f t="shared" si="24"/>
        <v>15.518325182771083</v>
      </c>
      <c r="AE83" s="76">
        <f t="shared" si="25"/>
        <v>3.2733558347128535</v>
      </c>
      <c r="AF83" s="46">
        <f t="shared" si="26"/>
        <v>6.0000000000000005E-2</v>
      </c>
      <c r="AG83" s="76">
        <f t="shared" si="27"/>
        <v>0.42414112853447733</v>
      </c>
      <c r="AH83" s="76">
        <f t="shared" si="38"/>
        <v>0.82301469114619663</v>
      </c>
      <c r="AI83" s="50">
        <f t="shared" si="9"/>
        <v>339.84845660228433</v>
      </c>
      <c r="AJ83" s="76">
        <f t="shared" si="28"/>
        <v>0.18154012004763848</v>
      </c>
      <c r="AK83" s="76">
        <f t="shared" si="29"/>
        <v>0.28296826901575345</v>
      </c>
      <c r="AL83" s="76">
        <f t="shared" si="30"/>
        <v>2.8088474456494614</v>
      </c>
      <c r="AM83" s="76">
        <f t="shared" si="31"/>
        <v>1.8538393141286447</v>
      </c>
      <c r="AN83" s="76">
        <f t="shared" si="39"/>
        <v>33.538450980075311</v>
      </c>
      <c r="AO83" s="76">
        <f t="shared" si="32"/>
        <v>0.2972717251180757</v>
      </c>
      <c r="AP83" s="78">
        <f t="shared" si="11"/>
        <v>9.9700331806350047</v>
      </c>
      <c r="AQ83" s="78">
        <f t="shared" si="33"/>
        <v>0.36478003799043229</v>
      </c>
      <c r="AR83" s="78">
        <f t="shared" si="34"/>
        <v>13.473017811668925</v>
      </c>
      <c r="AS83" s="78">
        <f t="shared" si="35"/>
        <v>29.640639185671635</v>
      </c>
      <c r="AT83" s="78">
        <f t="shared" si="40"/>
        <v>27.331630413659056</v>
      </c>
      <c r="AU83" s="78">
        <f t="shared" si="37"/>
        <v>60.12958691004993</v>
      </c>
      <c r="AV83" s="78">
        <f t="shared" si="41"/>
        <v>8.1994891240977168</v>
      </c>
      <c r="AW83" s="79">
        <f t="shared" si="42"/>
        <v>1643.1533242812263</v>
      </c>
      <c r="AX83" s="79">
        <f t="shared" si="43"/>
        <v>16431.533242812264</v>
      </c>
      <c r="AY83" s="30"/>
      <c r="AZ83" s="1"/>
    </row>
    <row r="84" spans="1:52" x14ac:dyDescent="0.25">
      <c r="A84" s="47" t="s">
        <v>239</v>
      </c>
      <c r="B84" s="47"/>
      <c r="C84" s="48">
        <v>10</v>
      </c>
      <c r="D84" s="48">
        <v>37.1</v>
      </c>
      <c r="E84" s="48">
        <v>76.8</v>
      </c>
      <c r="F84" s="48">
        <v>3.5</v>
      </c>
      <c r="G84" s="48">
        <v>7.4</v>
      </c>
      <c r="H84" s="80">
        <f>'Fiber_Ash Inputs'!V57</f>
        <v>35.6</v>
      </c>
      <c r="I84" s="80">
        <f>'Fiber_Ash Inputs'!W57</f>
        <v>64.2</v>
      </c>
      <c r="J84" s="80">
        <f>'Fiber_Ash Inputs'!X57</f>
        <v>7.9</v>
      </c>
      <c r="K84" s="80">
        <f>'Fiber_Ash Inputs'!U57</f>
        <v>3</v>
      </c>
      <c r="L84" s="76">
        <f t="shared" si="15"/>
        <v>24.35079535546226</v>
      </c>
      <c r="M84" s="76">
        <f t="shared" si="16"/>
        <v>94.616843393682686</v>
      </c>
      <c r="N84" s="76">
        <f t="shared" si="2"/>
        <v>22.191011235955056</v>
      </c>
      <c r="O84" s="76">
        <f t="shared" si="17"/>
        <v>22.191011235955056</v>
      </c>
      <c r="P84" s="76">
        <f>(100*((LN((100-O84)-I84)-4.6052)/-'Fiber_Ash Inputs'!$D$17))*'Fiber_Ash Inputs'!$C$17</f>
        <v>7.3869240261072449</v>
      </c>
      <c r="Q84" s="76">
        <f t="shared" si="18"/>
        <v>58.830414718402729</v>
      </c>
      <c r="R84" s="76">
        <f>IF('Fiber_Ash Inputs'!$B$11=30,I84,IF('Fiber_Ash Inputs'!$B$11=48,I84*0.926))</f>
        <v>64.2</v>
      </c>
      <c r="S84" s="76">
        <f t="shared" si="3"/>
        <v>5.6980000000000004</v>
      </c>
      <c r="T84" s="76">
        <f t="shared" si="4"/>
        <v>1.7094</v>
      </c>
      <c r="U84" s="46">
        <f t="shared" si="5"/>
        <v>2.5</v>
      </c>
      <c r="V84" s="77">
        <f t="shared" si="6"/>
        <v>14.399999999999997</v>
      </c>
      <c r="W84" s="76">
        <f t="shared" si="19"/>
        <v>4.5856445751997779</v>
      </c>
      <c r="X84" s="76">
        <f t="shared" si="20"/>
        <v>2.8283731001045389</v>
      </c>
      <c r="Y84" s="76">
        <f t="shared" si="21"/>
        <v>1.4298208821942155</v>
      </c>
      <c r="Z84" s="76">
        <f t="shared" si="7"/>
        <v>3.4787109692996374</v>
      </c>
      <c r="AA84" s="76">
        <f t="shared" si="8"/>
        <v>1.0436132907898912</v>
      </c>
      <c r="AB84" s="76">
        <f t="shared" si="22"/>
        <v>3.5106375837640469</v>
      </c>
      <c r="AC84" s="76">
        <f t="shared" si="23"/>
        <v>2.1952587200950457</v>
      </c>
      <c r="AD84" s="76">
        <f t="shared" si="24"/>
        <v>15.518325182771083</v>
      </c>
      <c r="AE84" s="76">
        <f t="shared" si="25"/>
        <v>3.2733558347128535</v>
      </c>
      <c r="AF84" s="46">
        <f t="shared" si="26"/>
        <v>6.0000000000000005E-2</v>
      </c>
      <c r="AG84" s="76">
        <f t="shared" si="27"/>
        <v>0.42414112853447733</v>
      </c>
      <c r="AH84" s="76">
        <f t="shared" si="38"/>
        <v>0.82301469114619663</v>
      </c>
      <c r="AI84" s="50">
        <f t="shared" si="9"/>
        <v>339.84845660228433</v>
      </c>
      <c r="AJ84" s="76">
        <f t="shared" si="28"/>
        <v>0.18154012004763848</v>
      </c>
      <c r="AK84" s="76">
        <f t="shared" si="29"/>
        <v>0.28296826901575345</v>
      </c>
      <c r="AL84" s="76">
        <f t="shared" si="30"/>
        <v>2.8088474456494614</v>
      </c>
      <c r="AM84" s="76">
        <f t="shared" si="31"/>
        <v>1.8538393141286447</v>
      </c>
      <c r="AN84" s="76">
        <f t="shared" si="39"/>
        <v>33.538450980075311</v>
      </c>
      <c r="AO84" s="76">
        <f t="shared" si="32"/>
        <v>0.2972717251180757</v>
      </c>
      <c r="AP84" s="78">
        <f t="shared" si="11"/>
        <v>9.9700331806350047</v>
      </c>
      <c r="AQ84" s="78">
        <f t="shared" si="33"/>
        <v>0.36478003799043229</v>
      </c>
      <c r="AR84" s="78">
        <f t="shared" si="34"/>
        <v>13.473017811668925</v>
      </c>
      <c r="AS84" s="78">
        <f t="shared" si="35"/>
        <v>29.640639185671635</v>
      </c>
      <c r="AT84" s="78">
        <f t="shared" si="40"/>
        <v>27.331630413659056</v>
      </c>
      <c r="AU84" s="78">
        <f t="shared" si="37"/>
        <v>60.12958691004993</v>
      </c>
      <c r="AV84" s="78">
        <f t="shared" si="41"/>
        <v>8.1994891240977168</v>
      </c>
      <c r="AW84" s="79">
        <f t="shared" si="42"/>
        <v>1643.1533242812263</v>
      </c>
      <c r="AX84" s="79">
        <f t="shared" si="43"/>
        <v>16431.533242812264</v>
      </c>
      <c r="AY84" s="30"/>
      <c r="AZ84" s="1"/>
    </row>
    <row r="85" spans="1:52" x14ac:dyDescent="0.25">
      <c r="A85" s="47" t="s">
        <v>240</v>
      </c>
      <c r="B85" s="47"/>
      <c r="C85" s="48">
        <v>10</v>
      </c>
      <c r="D85" s="48">
        <v>37.1</v>
      </c>
      <c r="E85" s="48">
        <v>76.8</v>
      </c>
      <c r="F85" s="48">
        <v>3.5</v>
      </c>
      <c r="G85" s="48">
        <v>7.4</v>
      </c>
      <c r="H85" s="80">
        <f>'Fiber_Ash Inputs'!V58</f>
        <v>35.6</v>
      </c>
      <c r="I85" s="80">
        <f>'Fiber_Ash Inputs'!W58</f>
        <v>64.2</v>
      </c>
      <c r="J85" s="80">
        <f>'Fiber_Ash Inputs'!X58</f>
        <v>7.9</v>
      </c>
      <c r="K85" s="80">
        <f>'Fiber_Ash Inputs'!U58</f>
        <v>3</v>
      </c>
      <c r="L85" s="76">
        <f t="shared" si="15"/>
        <v>24.35079535546226</v>
      </c>
      <c r="M85" s="76">
        <f t="shared" si="16"/>
        <v>94.616843393682686</v>
      </c>
      <c r="N85" s="76">
        <f t="shared" si="2"/>
        <v>22.191011235955056</v>
      </c>
      <c r="O85" s="76">
        <f t="shared" si="17"/>
        <v>22.191011235955056</v>
      </c>
      <c r="P85" s="76">
        <f>(100*((LN((100-O85)-I85)-4.6052)/-'Fiber_Ash Inputs'!$D$17))*'Fiber_Ash Inputs'!$C$17</f>
        <v>7.3869240261072449</v>
      </c>
      <c r="Q85" s="76">
        <f t="shared" si="18"/>
        <v>58.830414718402729</v>
      </c>
      <c r="R85" s="76">
        <f>IF('Fiber_Ash Inputs'!$B$11=30,I85,IF('Fiber_Ash Inputs'!$B$11=48,I85*0.926))</f>
        <v>64.2</v>
      </c>
      <c r="S85" s="76">
        <f t="shared" si="3"/>
        <v>5.6980000000000004</v>
      </c>
      <c r="T85" s="76">
        <f t="shared" si="4"/>
        <v>1.7094</v>
      </c>
      <c r="U85" s="46">
        <f t="shared" si="5"/>
        <v>2.5</v>
      </c>
      <c r="V85" s="77">
        <f t="shared" si="6"/>
        <v>14.399999999999997</v>
      </c>
      <c r="W85" s="76">
        <f t="shared" si="19"/>
        <v>4.5856445751997779</v>
      </c>
      <c r="X85" s="76">
        <f t="shared" si="20"/>
        <v>2.8283731001045389</v>
      </c>
      <c r="Y85" s="76">
        <f t="shared" si="21"/>
        <v>1.4298208821942155</v>
      </c>
      <c r="Z85" s="76">
        <f t="shared" si="7"/>
        <v>3.4787109692996374</v>
      </c>
      <c r="AA85" s="76">
        <f t="shared" si="8"/>
        <v>1.0436132907898912</v>
      </c>
      <c r="AB85" s="76">
        <f t="shared" si="22"/>
        <v>3.5106375837640469</v>
      </c>
      <c r="AC85" s="76">
        <f t="shared" si="23"/>
        <v>2.1952587200950457</v>
      </c>
      <c r="AD85" s="76">
        <f t="shared" si="24"/>
        <v>15.518325182771083</v>
      </c>
      <c r="AE85" s="76">
        <f t="shared" si="25"/>
        <v>3.2733558347128535</v>
      </c>
      <c r="AF85" s="46">
        <f t="shared" si="26"/>
        <v>6.0000000000000005E-2</v>
      </c>
      <c r="AG85" s="76">
        <f t="shared" si="27"/>
        <v>0.42414112853447733</v>
      </c>
      <c r="AH85" s="76">
        <f t="shared" si="38"/>
        <v>0.82301469114619663</v>
      </c>
      <c r="AI85" s="50">
        <f t="shared" si="9"/>
        <v>339.84845660228433</v>
      </c>
      <c r="AJ85" s="76">
        <f t="shared" si="28"/>
        <v>0.18154012004763848</v>
      </c>
      <c r="AK85" s="76">
        <f t="shared" si="29"/>
        <v>0.28296826901575345</v>
      </c>
      <c r="AL85" s="76">
        <f t="shared" si="30"/>
        <v>2.8088474456494614</v>
      </c>
      <c r="AM85" s="76">
        <f t="shared" si="31"/>
        <v>1.8538393141286447</v>
      </c>
      <c r="AN85" s="76">
        <f t="shared" si="39"/>
        <v>33.538450980075311</v>
      </c>
      <c r="AO85" s="76">
        <f t="shared" si="32"/>
        <v>0.2972717251180757</v>
      </c>
      <c r="AP85" s="78">
        <f t="shared" si="11"/>
        <v>9.9700331806350047</v>
      </c>
      <c r="AQ85" s="78">
        <f t="shared" si="33"/>
        <v>0.36478003799043229</v>
      </c>
      <c r="AR85" s="78">
        <f t="shared" si="34"/>
        <v>13.473017811668925</v>
      </c>
      <c r="AS85" s="78">
        <f t="shared" si="35"/>
        <v>29.640639185671635</v>
      </c>
      <c r="AT85" s="78">
        <f t="shared" si="40"/>
        <v>27.331630413659056</v>
      </c>
      <c r="AU85" s="78">
        <f t="shared" si="37"/>
        <v>60.12958691004993</v>
      </c>
      <c r="AV85" s="78">
        <f t="shared" si="41"/>
        <v>8.1994891240977168</v>
      </c>
      <c r="AW85" s="79">
        <f t="shared" si="42"/>
        <v>1643.1533242812263</v>
      </c>
      <c r="AX85" s="79">
        <f t="shared" si="43"/>
        <v>16431.533242812264</v>
      </c>
      <c r="AY85" s="30"/>
      <c r="AZ85" s="1"/>
    </row>
    <row r="86" spans="1:52" x14ac:dyDescent="0.25">
      <c r="A86" s="47" t="s">
        <v>241</v>
      </c>
      <c r="B86" s="47"/>
      <c r="C86" s="48">
        <v>10</v>
      </c>
      <c r="D86" s="48">
        <v>37.1</v>
      </c>
      <c r="E86" s="48">
        <v>76.8</v>
      </c>
      <c r="F86" s="48">
        <v>3.5</v>
      </c>
      <c r="G86" s="48">
        <v>7.4</v>
      </c>
      <c r="H86" s="80">
        <f>'Fiber_Ash Inputs'!V59</f>
        <v>35.6</v>
      </c>
      <c r="I86" s="80">
        <f>'Fiber_Ash Inputs'!W59</f>
        <v>64.2</v>
      </c>
      <c r="J86" s="80">
        <f>'Fiber_Ash Inputs'!X59</f>
        <v>7.9</v>
      </c>
      <c r="K86" s="80">
        <f>'Fiber_Ash Inputs'!U59</f>
        <v>3</v>
      </c>
      <c r="L86" s="76">
        <f t="shared" si="15"/>
        <v>24.35079535546226</v>
      </c>
      <c r="M86" s="76">
        <f t="shared" si="16"/>
        <v>94.616843393682686</v>
      </c>
      <c r="N86" s="76">
        <f t="shared" si="2"/>
        <v>22.191011235955056</v>
      </c>
      <c r="O86" s="76">
        <f t="shared" si="17"/>
        <v>22.191011235955056</v>
      </c>
      <c r="P86" s="76">
        <f>(100*((LN((100-O86)-I86)-4.6052)/-'Fiber_Ash Inputs'!$D$17))*'Fiber_Ash Inputs'!$C$17</f>
        <v>7.3869240261072449</v>
      </c>
      <c r="Q86" s="76">
        <f t="shared" si="18"/>
        <v>58.830414718402729</v>
      </c>
      <c r="R86" s="76">
        <f>IF('Fiber_Ash Inputs'!$B$11=30,I86,IF('Fiber_Ash Inputs'!$B$11=48,I86*0.926))</f>
        <v>64.2</v>
      </c>
      <c r="S86" s="76">
        <f t="shared" si="3"/>
        <v>5.6980000000000004</v>
      </c>
      <c r="T86" s="76">
        <f t="shared" si="4"/>
        <v>1.7094</v>
      </c>
      <c r="U86" s="46">
        <f t="shared" si="5"/>
        <v>2.5</v>
      </c>
      <c r="V86" s="77">
        <f t="shared" si="6"/>
        <v>14.399999999999997</v>
      </c>
      <c r="W86" s="76">
        <f t="shared" si="19"/>
        <v>4.5856445751997779</v>
      </c>
      <c r="X86" s="76">
        <f t="shared" si="20"/>
        <v>2.8283731001045389</v>
      </c>
      <c r="Y86" s="76">
        <f t="shared" si="21"/>
        <v>1.4298208821942155</v>
      </c>
      <c r="Z86" s="76">
        <f t="shared" si="7"/>
        <v>3.4787109692996374</v>
      </c>
      <c r="AA86" s="76">
        <f t="shared" si="8"/>
        <v>1.0436132907898912</v>
      </c>
      <c r="AB86" s="76">
        <f t="shared" si="22"/>
        <v>3.5106375837640469</v>
      </c>
      <c r="AC86" s="76">
        <f t="shared" si="23"/>
        <v>2.1952587200950457</v>
      </c>
      <c r="AD86" s="76">
        <f t="shared" si="24"/>
        <v>15.518325182771083</v>
      </c>
      <c r="AE86" s="76">
        <f t="shared" si="25"/>
        <v>3.2733558347128535</v>
      </c>
      <c r="AF86" s="46">
        <f t="shared" si="26"/>
        <v>6.0000000000000005E-2</v>
      </c>
      <c r="AG86" s="76">
        <f t="shared" si="27"/>
        <v>0.42414112853447733</v>
      </c>
      <c r="AH86" s="76">
        <f t="shared" si="38"/>
        <v>0.82301469114619663</v>
      </c>
      <c r="AI86" s="50">
        <f t="shared" si="9"/>
        <v>339.84845660228433</v>
      </c>
      <c r="AJ86" s="76">
        <f t="shared" si="28"/>
        <v>0.18154012004763848</v>
      </c>
      <c r="AK86" s="76">
        <f t="shared" si="29"/>
        <v>0.28296826901575345</v>
      </c>
      <c r="AL86" s="76">
        <f t="shared" si="30"/>
        <v>2.8088474456494614</v>
      </c>
      <c r="AM86" s="76">
        <f t="shared" si="31"/>
        <v>1.8538393141286447</v>
      </c>
      <c r="AN86" s="76">
        <f t="shared" si="39"/>
        <v>33.538450980075311</v>
      </c>
      <c r="AO86" s="76">
        <f t="shared" si="32"/>
        <v>0.2972717251180757</v>
      </c>
      <c r="AP86" s="78">
        <f t="shared" si="11"/>
        <v>9.9700331806350047</v>
      </c>
      <c r="AQ86" s="78">
        <f t="shared" si="33"/>
        <v>0.36478003799043229</v>
      </c>
      <c r="AR86" s="78">
        <f t="shared" si="34"/>
        <v>13.473017811668925</v>
      </c>
      <c r="AS86" s="78">
        <f t="shared" si="35"/>
        <v>29.640639185671635</v>
      </c>
      <c r="AT86" s="78">
        <f t="shared" si="40"/>
        <v>27.331630413659056</v>
      </c>
      <c r="AU86" s="78">
        <f t="shared" si="37"/>
        <v>60.12958691004993</v>
      </c>
      <c r="AV86" s="78">
        <f t="shared" si="41"/>
        <v>8.1994891240977168</v>
      </c>
      <c r="AW86" s="79">
        <f t="shared" si="42"/>
        <v>1643.1533242812263</v>
      </c>
      <c r="AX86" s="79">
        <f t="shared" si="43"/>
        <v>16431.533242812264</v>
      </c>
      <c r="AY86" s="30"/>
      <c r="AZ86" s="1"/>
    </row>
    <row r="87" spans="1:52" x14ac:dyDescent="0.25">
      <c r="A87" s="47" t="s">
        <v>242</v>
      </c>
      <c r="B87" s="47"/>
      <c r="C87" s="48">
        <v>10</v>
      </c>
      <c r="D87" s="48">
        <v>37.1</v>
      </c>
      <c r="E87" s="48">
        <v>76.8</v>
      </c>
      <c r="F87" s="48">
        <v>3.5</v>
      </c>
      <c r="G87" s="48">
        <v>7.4</v>
      </c>
      <c r="H87" s="80">
        <f>'Fiber_Ash Inputs'!V60</f>
        <v>35.6</v>
      </c>
      <c r="I87" s="80">
        <f>'Fiber_Ash Inputs'!W60</f>
        <v>64.2</v>
      </c>
      <c r="J87" s="80">
        <f>'Fiber_Ash Inputs'!X60</f>
        <v>7.9</v>
      </c>
      <c r="K87" s="80">
        <f>'Fiber_Ash Inputs'!U60</f>
        <v>3</v>
      </c>
      <c r="L87" s="76">
        <f t="shared" si="15"/>
        <v>24.35079535546226</v>
      </c>
      <c r="M87" s="76">
        <f t="shared" si="16"/>
        <v>94.616843393682686</v>
      </c>
      <c r="N87" s="76">
        <f t="shared" si="2"/>
        <v>22.191011235955056</v>
      </c>
      <c r="O87" s="76">
        <f t="shared" si="17"/>
        <v>22.191011235955056</v>
      </c>
      <c r="P87" s="76">
        <f>(100*((LN((100-O87)-I87)-4.6052)/-'Fiber_Ash Inputs'!$D$17))*'Fiber_Ash Inputs'!$C$17</f>
        <v>7.3869240261072449</v>
      </c>
      <c r="Q87" s="76">
        <f t="shared" si="18"/>
        <v>58.830414718402729</v>
      </c>
      <c r="R87" s="76">
        <f>IF('Fiber_Ash Inputs'!$B$11=30,I87,IF('Fiber_Ash Inputs'!$B$11=48,I87*0.926))</f>
        <v>64.2</v>
      </c>
      <c r="S87" s="76">
        <f t="shared" si="3"/>
        <v>5.6980000000000004</v>
      </c>
      <c r="T87" s="76">
        <f t="shared" si="4"/>
        <v>1.7094</v>
      </c>
      <c r="U87" s="46">
        <f t="shared" si="5"/>
        <v>2.5</v>
      </c>
      <c r="V87" s="77">
        <f t="shared" si="6"/>
        <v>14.399999999999997</v>
      </c>
      <c r="W87" s="76">
        <f t="shared" si="19"/>
        <v>4.5856445751997779</v>
      </c>
      <c r="X87" s="76">
        <f t="shared" si="20"/>
        <v>2.8283731001045389</v>
      </c>
      <c r="Y87" s="76">
        <f t="shared" si="21"/>
        <v>1.4298208821942155</v>
      </c>
      <c r="Z87" s="76">
        <f t="shared" si="7"/>
        <v>3.4787109692996374</v>
      </c>
      <c r="AA87" s="76">
        <f t="shared" si="8"/>
        <v>1.0436132907898912</v>
      </c>
      <c r="AB87" s="76">
        <f t="shared" si="22"/>
        <v>3.5106375837640469</v>
      </c>
      <c r="AC87" s="76">
        <f t="shared" si="23"/>
        <v>2.1952587200950457</v>
      </c>
      <c r="AD87" s="76">
        <f t="shared" si="24"/>
        <v>15.518325182771083</v>
      </c>
      <c r="AE87" s="76">
        <f t="shared" si="25"/>
        <v>3.2733558347128535</v>
      </c>
      <c r="AF87" s="46">
        <f t="shared" si="26"/>
        <v>6.0000000000000005E-2</v>
      </c>
      <c r="AG87" s="76">
        <f t="shared" si="27"/>
        <v>0.42414112853447733</v>
      </c>
      <c r="AH87" s="76">
        <f t="shared" si="38"/>
        <v>0.82301469114619663</v>
      </c>
      <c r="AI87" s="50">
        <f t="shared" si="9"/>
        <v>339.84845660228433</v>
      </c>
      <c r="AJ87" s="76">
        <f t="shared" si="28"/>
        <v>0.18154012004763848</v>
      </c>
      <c r="AK87" s="76">
        <f t="shared" si="29"/>
        <v>0.28296826901575345</v>
      </c>
      <c r="AL87" s="76">
        <f t="shared" si="30"/>
        <v>2.8088474456494614</v>
      </c>
      <c r="AM87" s="76">
        <f t="shared" si="31"/>
        <v>1.8538393141286447</v>
      </c>
      <c r="AN87" s="76">
        <f t="shared" si="39"/>
        <v>33.538450980075311</v>
      </c>
      <c r="AO87" s="76">
        <f t="shared" si="32"/>
        <v>0.2972717251180757</v>
      </c>
      <c r="AP87" s="78">
        <f t="shared" si="11"/>
        <v>9.9700331806350047</v>
      </c>
      <c r="AQ87" s="78">
        <f t="shared" si="33"/>
        <v>0.36478003799043229</v>
      </c>
      <c r="AR87" s="78">
        <f t="shared" si="34"/>
        <v>13.473017811668925</v>
      </c>
      <c r="AS87" s="78">
        <f t="shared" si="35"/>
        <v>29.640639185671635</v>
      </c>
      <c r="AT87" s="78">
        <f t="shared" si="40"/>
        <v>27.331630413659056</v>
      </c>
      <c r="AU87" s="78">
        <f t="shared" si="37"/>
        <v>60.12958691004993</v>
      </c>
      <c r="AV87" s="78">
        <f t="shared" si="41"/>
        <v>8.1994891240977168</v>
      </c>
      <c r="AW87" s="79">
        <f t="shared" si="42"/>
        <v>1643.1533242812263</v>
      </c>
      <c r="AX87" s="79">
        <f t="shared" si="43"/>
        <v>16431.533242812264</v>
      </c>
      <c r="AY87" s="30"/>
      <c r="AZ87" s="1"/>
    </row>
    <row r="88" spans="1:52" x14ac:dyDescent="0.25">
      <c r="A88" s="47" t="s">
        <v>243</v>
      </c>
      <c r="B88" s="47"/>
      <c r="C88" s="48">
        <v>10</v>
      </c>
      <c r="D88" s="48">
        <v>37.1</v>
      </c>
      <c r="E88" s="48">
        <v>76.8</v>
      </c>
      <c r="F88" s="48">
        <v>3.5</v>
      </c>
      <c r="G88" s="48">
        <v>7.4</v>
      </c>
      <c r="H88" s="80">
        <f>'Fiber_Ash Inputs'!V61</f>
        <v>35.6</v>
      </c>
      <c r="I88" s="80">
        <f>'Fiber_Ash Inputs'!W61</f>
        <v>64.2</v>
      </c>
      <c r="J88" s="80">
        <f>'Fiber_Ash Inputs'!X61</f>
        <v>7.9</v>
      </c>
      <c r="K88" s="80">
        <f>'Fiber_Ash Inputs'!U61</f>
        <v>3</v>
      </c>
      <c r="L88" s="76">
        <f t="shared" si="15"/>
        <v>24.35079535546226</v>
      </c>
      <c r="M88" s="76">
        <f t="shared" si="16"/>
        <v>94.616843393682686</v>
      </c>
      <c r="N88" s="76">
        <f t="shared" si="2"/>
        <v>22.191011235955056</v>
      </c>
      <c r="O88" s="76">
        <f t="shared" si="17"/>
        <v>22.191011235955056</v>
      </c>
      <c r="P88" s="76">
        <f>(100*((LN((100-O88)-I88)-4.6052)/-'Fiber_Ash Inputs'!$D$17))*'Fiber_Ash Inputs'!$C$17</f>
        <v>7.3869240261072449</v>
      </c>
      <c r="Q88" s="76">
        <f t="shared" si="18"/>
        <v>58.830414718402729</v>
      </c>
      <c r="R88" s="76">
        <f>IF('Fiber_Ash Inputs'!$B$11=30,I88,IF('Fiber_Ash Inputs'!$B$11=48,I88*0.926))</f>
        <v>64.2</v>
      </c>
      <c r="S88" s="76">
        <f t="shared" si="3"/>
        <v>5.6980000000000004</v>
      </c>
      <c r="T88" s="76">
        <f t="shared" si="4"/>
        <v>1.7094</v>
      </c>
      <c r="U88" s="46">
        <f t="shared" si="5"/>
        <v>2.5</v>
      </c>
      <c r="V88" s="77">
        <f t="shared" si="6"/>
        <v>14.399999999999997</v>
      </c>
      <c r="W88" s="76">
        <f t="shared" si="19"/>
        <v>4.5856445751997779</v>
      </c>
      <c r="X88" s="76">
        <f t="shared" si="20"/>
        <v>2.8283731001045389</v>
      </c>
      <c r="Y88" s="76">
        <f t="shared" si="21"/>
        <v>1.4298208821942155</v>
      </c>
      <c r="Z88" s="76">
        <f t="shared" si="7"/>
        <v>3.4787109692996374</v>
      </c>
      <c r="AA88" s="76">
        <f t="shared" si="8"/>
        <v>1.0436132907898912</v>
      </c>
      <c r="AB88" s="76">
        <f t="shared" si="22"/>
        <v>3.5106375837640469</v>
      </c>
      <c r="AC88" s="76">
        <f t="shared" si="23"/>
        <v>2.1952587200950457</v>
      </c>
      <c r="AD88" s="76">
        <f t="shared" si="24"/>
        <v>15.518325182771083</v>
      </c>
      <c r="AE88" s="76">
        <f t="shared" si="25"/>
        <v>3.2733558347128535</v>
      </c>
      <c r="AF88" s="46">
        <f t="shared" si="26"/>
        <v>6.0000000000000005E-2</v>
      </c>
      <c r="AG88" s="76">
        <f t="shared" si="27"/>
        <v>0.42414112853447733</v>
      </c>
      <c r="AH88" s="76">
        <f t="shared" si="38"/>
        <v>0.82301469114619663</v>
      </c>
      <c r="AI88" s="50">
        <f t="shared" si="9"/>
        <v>339.84845660228433</v>
      </c>
      <c r="AJ88" s="76">
        <f t="shared" si="28"/>
        <v>0.18154012004763848</v>
      </c>
      <c r="AK88" s="76">
        <f t="shared" si="29"/>
        <v>0.28296826901575345</v>
      </c>
      <c r="AL88" s="76">
        <f t="shared" si="30"/>
        <v>2.8088474456494614</v>
      </c>
      <c r="AM88" s="76">
        <f t="shared" si="31"/>
        <v>1.8538393141286447</v>
      </c>
      <c r="AN88" s="76">
        <f t="shared" si="39"/>
        <v>33.538450980075311</v>
      </c>
      <c r="AO88" s="76">
        <f t="shared" si="32"/>
        <v>0.2972717251180757</v>
      </c>
      <c r="AP88" s="78">
        <f t="shared" si="11"/>
        <v>9.9700331806350047</v>
      </c>
      <c r="AQ88" s="78">
        <f t="shared" si="33"/>
        <v>0.36478003799043229</v>
      </c>
      <c r="AR88" s="78">
        <f t="shared" si="34"/>
        <v>13.473017811668925</v>
      </c>
      <c r="AS88" s="78">
        <f t="shared" si="35"/>
        <v>29.640639185671635</v>
      </c>
      <c r="AT88" s="78">
        <f t="shared" si="40"/>
        <v>27.331630413659056</v>
      </c>
      <c r="AU88" s="78">
        <f t="shared" si="37"/>
        <v>60.12958691004993</v>
      </c>
      <c r="AV88" s="78">
        <f t="shared" si="41"/>
        <v>8.1994891240977168</v>
      </c>
      <c r="AW88" s="79">
        <f t="shared" si="42"/>
        <v>1643.1533242812263</v>
      </c>
      <c r="AX88" s="79">
        <f t="shared" si="43"/>
        <v>16431.533242812264</v>
      </c>
      <c r="AY88" s="30"/>
      <c r="AZ88" s="1"/>
    </row>
    <row r="89" spans="1:52" x14ac:dyDescent="0.25">
      <c r="A89" s="47" t="s">
        <v>244</v>
      </c>
      <c r="B89" s="47"/>
      <c r="C89" s="48">
        <v>10</v>
      </c>
      <c r="D89" s="48">
        <v>37.1</v>
      </c>
      <c r="E89" s="48">
        <v>76.8</v>
      </c>
      <c r="F89" s="48">
        <v>3.5</v>
      </c>
      <c r="G89" s="48">
        <v>7.4</v>
      </c>
      <c r="H89" s="80">
        <f>'Fiber_Ash Inputs'!V62</f>
        <v>35.6</v>
      </c>
      <c r="I89" s="80">
        <f>'Fiber_Ash Inputs'!W62</f>
        <v>64.2</v>
      </c>
      <c r="J89" s="80">
        <f>'Fiber_Ash Inputs'!X62</f>
        <v>7.9</v>
      </c>
      <c r="K89" s="80">
        <f>'Fiber_Ash Inputs'!U62</f>
        <v>3</v>
      </c>
      <c r="L89" s="76">
        <f t="shared" si="15"/>
        <v>24.35079535546226</v>
      </c>
      <c r="M89" s="76">
        <f t="shared" si="16"/>
        <v>94.616843393682686</v>
      </c>
      <c r="N89" s="76">
        <f t="shared" si="2"/>
        <v>22.191011235955056</v>
      </c>
      <c r="O89" s="76">
        <f t="shared" si="17"/>
        <v>22.191011235955056</v>
      </c>
      <c r="P89" s="76">
        <f>(100*((LN((100-O89)-I89)-4.6052)/-'Fiber_Ash Inputs'!$D$17))*'Fiber_Ash Inputs'!$C$17</f>
        <v>7.3869240261072449</v>
      </c>
      <c r="Q89" s="76">
        <f t="shared" si="18"/>
        <v>58.830414718402729</v>
      </c>
      <c r="R89" s="76">
        <f>IF('Fiber_Ash Inputs'!$B$11=30,I89,IF('Fiber_Ash Inputs'!$B$11=48,I89*0.926))</f>
        <v>64.2</v>
      </c>
      <c r="S89" s="76">
        <f t="shared" si="3"/>
        <v>5.6980000000000004</v>
      </c>
      <c r="T89" s="76">
        <f t="shared" si="4"/>
        <v>1.7094</v>
      </c>
      <c r="U89" s="46">
        <f t="shared" si="5"/>
        <v>2.5</v>
      </c>
      <c r="V89" s="77">
        <f t="shared" si="6"/>
        <v>14.399999999999997</v>
      </c>
      <c r="W89" s="76">
        <f t="shared" si="19"/>
        <v>4.5856445751997779</v>
      </c>
      <c r="X89" s="76">
        <f t="shared" si="20"/>
        <v>2.8283731001045389</v>
      </c>
      <c r="Y89" s="76">
        <f t="shared" si="21"/>
        <v>1.4298208821942155</v>
      </c>
      <c r="Z89" s="76">
        <f t="shared" si="7"/>
        <v>3.4787109692996374</v>
      </c>
      <c r="AA89" s="76">
        <f t="shared" si="8"/>
        <v>1.0436132907898912</v>
      </c>
      <c r="AB89" s="76">
        <f t="shared" si="22"/>
        <v>3.5106375837640469</v>
      </c>
      <c r="AC89" s="76">
        <f t="shared" si="23"/>
        <v>2.1952587200950457</v>
      </c>
      <c r="AD89" s="76">
        <f t="shared" si="24"/>
        <v>15.518325182771083</v>
      </c>
      <c r="AE89" s="76">
        <f t="shared" si="25"/>
        <v>3.2733558347128535</v>
      </c>
      <c r="AF89" s="46">
        <f t="shared" si="26"/>
        <v>6.0000000000000005E-2</v>
      </c>
      <c r="AG89" s="76">
        <f t="shared" si="27"/>
        <v>0.42414112853447733</v>
      </c>
      <c r="AH89" s="76">
        <f t="shared" si="38"/>
        <v>0.82301469114619663</v>
      </c>
      <c r="AI89" s="50">
        <f t="shared" si="9"/>
        <v>339.84845660228433</v>
      </c>
      <c r="AJ89" s="76">
        <f t="shared" si="28"/>
        <v>0.18154012004763848</v>
      </c>
      <c r="AK89" s="76">
        <f t="shared" si="29"/>
        <v>0.28296826901575345</v>
      </c>
      <c r="AL89" s="76">
        <f t="shared" si="30"/>
        <v>2.8088474456494614</v>
      </c>
      <c r="AM89" s="76">
        <f t="shared" si="31"/>
        <v>1.8538393141286447</v>
      </c>
      <c r="AN89" s="76">
        <f t="shared" si="39"/>
        <v>33.538450980075311</v>
      </c>
      <c r="AO89" s="76">
        <f t="shared" si="32"/>
        <v>0.2972717251180757</v>
      </c>
      <c r="AP89" s="78">
        <f t="shared" si="11"/>
        <v>9.9700331806350047</v>
      </c>
      <c r="AQ89" s="78">
        <f t="shared" si="33"/>
        <v>0.36478003799043229</v>
      </c>
      <c r="AR89" s="78">
        <f t="shared" si="34"/>
        <v>13.473017811668925</v>
      </c>
      <c r="AS89" s="78">
        <f t="shared" si="35"/>
        <v>29.640639185671635</v>
      </c>
      <c r="AT89" s="78">
        <f t="shared" si="40"/>
        <v>27.331630413659056</v>
      </c>
      <c r="AU89" s="78">
        <f t="shared" si="37"/>
        <v>60.12958691004993</v>
      </c>
      <c r="AV89" s="78">
        <f t="shared" si="41"/>
        <v>8.1994891240977168</v>
      </c>
      <c r="AW89" s="79">
        <f t="shared" si="42"/>
        <v>1643.1533242812263</v>
      </c>
      <c r="AX89" s="79">
        <f t="shared" si="43"/>
        <v>16431.533242812264</v>
      </c>
      <c r="AY89" s="30"/>
      <c r="AZ89" s="1"/>
    </row>
    <row r="90" spans="1:52" x14ac:dyDescent="0.25">
      <c r="A90" s="47" t="s">
        <v>245</v>
      </c>
      <c r="B90" s="47"/>
      <c r="C90" s="48">
        <v>10</v>
      </c>
      <c r="D90" s="48">
        <v>37.1</v>
      </c>
      <c r="E90" s="48">
        <v>76.8</v>
      </c>
      <c r="F90" s="48">
        <v>3.5</v>
      </c>
      <c r="G90" s="48">
        <v>7.4</v>
      </c>
      <c r="H90" s="80">
        <f>'Fiber_Ash Inputs'!V63</f>
        <v>35.6</v>
      </c>
      <c r="I90" s="80">
        <f>'Fiber_Ash Inputs'!W63</f>
        <v>64.2</v>
      </c>
      <c r="J90" s="80">
        <f>'Fiber_Ash Inputs'!X63</f>
        <v>7.9</v>
      </c>
      <c r="K90" s="80">
        <f>'Fiber_Ash Inputs'!U63</f>
        <v>3</v>
      </c>
      <c r="L90" s="76">
        <f t="shared" si="15"/>
        <v>24.35079535546226</v>
      </c>
      <c r="M90" s="76">
        <f t="shared" si="16"/>
        <v>94.616843393682686</v>
      </c>
      <c r="N90" s="76">
        <f t="shared" si="2"/>
        <v>22.191011235955056</v>
      </c>
      <c r="O90" s="76">
        <f t="shared" si="17"/>
        <v>22.191011235955056</v>
      </c>
      <c r="P90" s="76">
        <f>(100*((LN((100-O90)-I90)-4.6052)/-'Fiber_Ash Inputs'!$D$17))*'Fiber_Ash Inputs'!$C$17</f>
        <v>7.3869240261072449</v>
      </c>
      <c r="Q90" s="76">
        <f t="shared" si="18"/>
        <v>58.830414718402729</v>
      </c>
      <c r="R90" s="76">
        <f>IF('Fiber_Ash Inputs'!$B$11=30,I90,IF('Fiber_Ash Inputs'!$B$11=48,I90*0.926))</f>
        <v>64.2</v>
      </c>
      <c r="S90" s="76">
        <f t="shared" si="3"/>
        <v>5.6980000000000004</v>
      </c>
      <c r="T90" s="76">
        <f t="shared" si="4"/>
        <v>1.7094</v>
      </c>
      <c r="U90" s="46">
        <f t="shared" si="5"/>
        <v>2.5</v>
      </c>
      <c r="V90" s="77">
        <f t="shared" si="6"/>
        <v>14.399999999999997</v>
      </c>
      <c r="W90" s="76">
        <f t="shared" si="19"/>
        <v>4.5856445751997779</v>
      </c>
      <c r="X90" s="76">
        <f t="shared" si="20"/>
        <v>2.8283731001045389</v>
      </c>
      <c r="Y90" s="76">
        <f t="shared" si="21"/>
        <v>1.4298208821942155</v>
      </c>
      <c r="Z90" s="76">
        <f t="shared" si="7"/>
        <v>3.4787109692996374</v>
      </c>
      <c r="AA90" s="76">
        <f t="shared" si="8"/>
        <v>1.0436132907898912</v>
      </c>
      <c r="AB90" s="76">
        <f t="shared" si="22"/>
        <v>3.5106375837640469</v>
      </c>
      <c r="AC90" s="76">
        <f t="shared" si="23"/>
        <v>2.1952587200950457</v>
      </c>
      <c r="AD90" s="76">
        <f t="shared" si="24"/>
        <v>15.518325182771083</v>
      </c>
      <c r="AE90" s="76">
        <f t="shared" si="25"/>
        <v>3.2733558347128535</v>
      </c>
      <c r="AF90" s="46">
        <f t="shared" si="26"/>
        <v>6.0000000000000005E-2</v>
      </c>
      <c r="AG90" s="76">
        <f t="shared" si="27"/>
        <v>0.42414112853447733</v>
      </c>
      <c r="AH90" s="76">
        <f t="shared" si="38"/>
        <v>0.82301469114619663</v>
      </c>
      <c r="AI90" s="50">
        <f t="shared" si="9"/>
        <v>339.84845660228433</v>
      </c>
      <c r="AJ90" s="76">
        <f t="shared" si="28"/>
        <v>0.18154012004763848</v>
      </c>
      <c r="AK90" s="76">
        <f t="shared" si="29"/>
        <v>0.28296826901575345</v>
      </c>
      <c r="AL90" s="76">
        <f t="shared" si="30"/>
        <v>2.8088474456494614</v>
      </c>
      <c r="AM90" s="76">
        <f t="shared" si="31"/>
        <v>1.8538393141286447</v>
      </c>
      <c r="AN90" s="76">
        <f t="shared" si="39"/>
        <v>33.538450980075311</v>
      </c>
      <c r="AO90" s="76">
        <f t="shared" si="32"/>
        <v>0.2972717251180757</v>
      </c>
      <c r="AP90" s="78">
        <f t="shared" si="11"/>
        <v>9.9700331806350047</v>
      </c>
      <c r="AQ90" s="78">
        <f t="shared" si="33"/>
        <v>0.36478003799043229</v>
      </c>
      <c r="AR90" s="78">
        <f t="shared" si="34"/>
        <v>13.473017811668925</v>
      </c>
      <c r="AS90" s="78">
        <f t="shared" si="35"/>
        <v>29.640639185671635</v>
      </c>
      <c r="AT90" s="78">
        <f t="shared" si="40"/>
        <v>27.331630413659056</v>
      </c>
      <c r="AU90" s="78">
        <f t="shared" si="37"/>
        <v>60.12958691004993</v>
      </c>
      <c r="AV90" s="78">
        <f t="shared" si="41"/>
        <v>8.1994891240977168</v>
      </c>
      <c r="AW90" s="79">
        <f t="shared" si="42"/>
        <v>1643.1533242812263</v>
      </c>
      <c r="AX90" s="79">
        <f t="shared" si="43"/>
        <v>16431.533242812264</v>
      </c>
      <c r="AY90" s="30"/>
      <c r="AZ90" s="1"/>
    </row>
    <row r="91" spans="1:52" x14ac:dyDescent="0.25">
      <c r="A91" s="47" t="s">
        <v>246</v>
      </c>
      <c r="B91" s="47"/>
      <c r="C91" s="48">
        <v>10</v>
      </c>
      <c r="D91" s="48">
        <v>37.1</v>
      </c>
      <c r="E91" s="48">
        <v>76.8</v>
      </c>
      <c r="F91" s="48">
        <v>3.5</v>
      </c>
      <c r="G91" s="48">
        <v>7.4</v>
      </c>
      <c r="H91" s="80">
        <f>'Fiber_Ash Inputs'!V64</f>
        <v>35.6</v>
      </c>
      <c r="I91" s="80">
        <f>'Fiber_Ash Inputs'!W64</f>
        <v>64.2</v>
      </c>
      <c r="J91" s="80">
        <f>'Fiber_Ash Inputs'!X64</f>
        <v>7.9</v>
      </c>
      <c r="K91" s="80">
        <f>'Fiber_Ash Inputs'!U64</f>
        <v>3</v>
      </c>
      <c r="L91" s="76">
        <f t="shared" si="15"/>
        <v>24.35079535546226</v>
      </c>
      <c r="M91" s="76">
        <f t="shared" si="16"/>
        <v>94.616843393682686</v>
      </c>
      <c r="N91" s="76">
        <f t="shared" si="2"/>
        <v>22.191011235955056</v>
      </c>
      <c r="O91" s="76">
        <f t="shared" si="17"/>
        <v>22.191011235955056</v>
      </c>
      <c r="P91" s="76">
        <f>(100*((LN((100-O91)-I91)-4.6052)/-'Fiber_Ash Inputs'!$D$17))*'Fiber_Ash Inputs'!$C$17</f>
        <v>7.3869240261072449</v>
      </c>
      <c r="Q91" s="76">
        <f t="shared" si="18"/>
        <v>58.830414718402729</v>
      </c>
      <c r="R91" s="76">
        <f>IF('Fiber_Ash Inputs'!$B$11=30,I91,IF('Fiber_Ash Inputs'!$B$11=48,I91*0.926))</f>
        <v>64.2</v>
      </c>
      <c r="S91" s="76">
        <f t="shared" si="3"/>
        <v>5.6980000000000004</v>
      </c>
      <c r="T91" s="76">
        <f t="shared" si="4"/>
        <v>1.7094</v>
      </c>
      <c r="U91" s="46">
        <f t="shared" si="5"/>
        <v>2.5</v>
      </c>
      <c r="V91" s="77">
        <f t="shared" si="6"/>
        <v>14.399999999999997</v>
      </c>
      <c r="W91" s="76">
        <f t="shared" si="19"/>
        <v>4.5856445751997779</v>
      </c>
      <c r="X91" s="76">
        <f t="shared" si="20"/>
        <v>2.8283731001045389</v>
      </c>
      <c r="Y91" s="76">
        <f t="shared" si="21"/>
        <v>1.4298208821942155</v>
      </c>
      <c r="Z91" s="76">
        <f t="shared" si="7"/>
        <v>3.4787109692996374</v>
      </c>
      <c r="AA91" s="76">
        <f t="shared" si="8"/>
        <v>1.0436132907898912</v>
      </c>
      <c r="AB91" s="76">
        <f t="shared" si="22"/>
        <v>3.5106375837640469</v>
      </c>
      <c r="AC91" s="76">
        <f t="shared" si="23"/>
        <v>2.1952587200950457</v>
      </c>
      <c r="AD91" s="76">
        <f t="shared" si="24"/>
        <v>15.518325182771083</v>
      </c>
      <c r="AE91" s="76">
        <f t="shared" si="25"/>
        <v>3.2733558347128535</v>
      </c>
      <c r="AF91" s="46">
        <f t="shared" si="26"/>
        <v>6.0000000000000005E-2</v>
      </c>
      <c r="AG91" s="76">
        <f t="shared" si="27"/>
        <v>0.42414112853447733</v>
      </c>
      <c r="AH91" s="76">
        <f t="shared" si="38"/>
        <v>0.82301469114619663</v>
      </c>
      <c r="AI91" s="50">
        <f t="shared" si="9"/>
        <v>339.84845660228433</v>
      </c>
      <c r="AJ91" s="76">
        <f t="shared" si="28"/>
        <v>0.18154012004763848</v>
      </c>
      <c r="AK91" s="76">
        <f t="shared" si="29"/>
        <v>0.28296826901575345</v>
      </c>
      <c r="AL91" s="76">
        <f t="shared" si="30"/>
        <v>2.8088474456494614</v>
      </c>
      <c r="AM91" s="76">
        <f t="shared" si="31"/>
        <v>1.8538393141286447</v>
      </c>
      <c r="AN91" s="76">
        <f t="shared" si="39"/>
        <v>33.538450980075311</v>
      </c>
      <c r="AO91" s="76">
        <f t="shared" si="32"/>
        <v>0.2972717251180757</v>
      </c>
      <c r="AP91" s="78">
        <f t="shared" si="11"/>
        <v>9.9700331806350047</v>
      </c>
      <c r="AQ91" s="78">
        <f t="shared" si="33"/>
        <v>0.36478003799043229</v>
      </c>
      <c r="AR91" s="78">
        <f t="shared" si="34"/>
        <v>13.473017811668925</v>
      </c>
      <c r="AS91" s="78">
        <f t="shared" si="35"/>
        <v>29.640639185671635</v>
      </c>
      <c r="AT91" s="78">
        <f t="shared" si="40"/>
        <v>27.331630413659056</v>
      </c>
      <c r="AU91" s="78">
        <f t="shared" si="37"/>
        <v>60.12958691004993</v>
      </c>
      <c r="AV91" s="78">
        <f t="shared" si="41"/>
        <v>8.1994891240977168</v>
      </c>
      <c r="AW91" s="79">
        <f t="shared" si="42"/>
        <v>1643.1533242812263</v>
      </c>
      <c r="AX91" s="79">
        <f t="shared" si="43"/>
        <v>16431.533242812264</v>
      </c>
      <c r="AY91" s="30"/>
      <c r="AZ91" s="1"/>
    </row>
    <row r="92" spans="1:52" x14ac:dyDescent="0.25">
      <c r="A92" s="47" t="s">
        <v>247</v>
      </c>
      <c r="B92" s="47"/>
      <c r="C92" s="48">
        <v>10</v>
      </c>
      <c r="D92" s="48">
        <v>37.1</v>
      </c>
      <c r="E92" s="48">
        <v>76.8</v>
      </c>
      <c r="F92" s="48">
        <v>3.5</v>
      </c>
      <c r="G92" s="48">
        <v>7.4</v>
      </c>
      <c r="H92" s="80">
        <f>'Fiber_Ash Inputs'!V65</f>
        <v>35.6</v>
      </c>
      <c r="I92" s="80">
        <f>'Fiber_Ash Inputs'!W65</f>
        <v>64.2</v>
      </c>
      <c r="J92" s="80">
        <f>'Fiber_Ash Inputs'!X65</f>
        <v>7.9</v>
      </c>
      <c r="K92" s="80">
        <f>'Fiber_Ash Inputs'!U65</f>
        <v>3</v>
      </c>
      <c r="L92" s="76">
        <f t="shared" si="15"/>
        <v>24.35079535546226</v>
      </c>
      <c r="M92" s="76">
        <f t="shared" si="16"/>
        <v>94.616843393682686</v>
      </c>
      <c r="N92" s="76">
        <f t="shared" si="2"/>
        <v>22.191011235955056</v>
      </c>
      <c r="O92" s="76">
        <f t="shared" si="17"/>
        <v>22.191011235955056</v>
      </c>
      <c r="P92" s="76">
        <f>(100*((LN((100-O92)-I92)-4.6052)/-'Fiber_Ash Inputs'!$D$17))*'Fiber_Ash Inputs'!$C$17</f>
        <v>7.3869240261072449</v>
      </c>
      <c r="Q92" s="76">
        <f t="shared" si="18"/>
        <v>58.830414718402729</v>
      </c>
      <c r="R92" s="76">
        <f>IF('Fiber_Ash Inputs'!$B$11=30,I92,IF('Fiber_Ash Inputs'!$B$11=48,I92*0.926))</f>
        <v>64.2</v>
      </c>
      <c r="S92" s="76">
        <f t="shared" si="3"/>
        <v>5.6980000000000004</v>
      </c>
      <c r="T92" s="76">
        <f t="shared" si="4"/>
        <v>1.7094</v>
      </c>
      <c r="U92" s="46">
        <f t="shared" si="5"/>
        <v>2.5</v>
      </c>
      <c r="V92" s="77">
        <f t="shared" si="6"/>
        <v>14.399999999999997</v>
      </c>
      <c r="W92" s="76">
        <f t="shared" si="19"/>
        <v>4.5856445751997779</v>
      </c>
      <c r="X92" s="76">
        <f t="shared" si="20"/>
        <v>2.8283731001045389</v>
      </c>
      <c r="Y92" s="76">
        <f t="shared" si="21"/>
        <v>1.4298208821942155</v>
      </c>
      <c r="Z92" s="76">
        <f t="shared" si="7"/>
        <v>3.4787109692996374</v>
      </c>
      <c r="AA92" s="76">
        <f t="shared" si="8"/>
        <v>1.0436132907898912</v>
      </c>
      <c r="AB92" s="76">
        <f t="shared" si="22"/>
        <v>3.5106375837640469</v>
      </c>
      <c r="AC92" s="76">
        <f t="shared" si="23"/>
        <v>2.1952587200950457</v>
      </c>
      <c r="AD92" s="76">
        <f t="shared" si="24"/>
        <v>15.518325182771083</v>
      </c>
      <c r="AE92" s="76">
        <f t="shared" si="25"/>
        <v>3.2733558347128535</v>
      </c>
      <c r="AF92" s="46">
        <f t="shared" si="26"/>
        <v>6.0000000000000005E-2</v>
      </c>
      <c r="AG92" s="76">
        <f t="shared" si="27"/>
        <v>0.42414112853447733</v>
      </c>
      <c r="AH92" s="76">
        <f t="shared" si="38"/>
        <v>0.82301469114619663</v>
      </c>
      <c r="AI92" s="50">
        <f t="shared" si="9"/>
        <v>339.84845660228433</v>
      </c>
      <c r="AJ92" s="76">
        <f t="shared" si="28"/>
        <v>0.18154012004763848</v>
      </c>
      <c r="AK92" s="76">
        <f t="shared" si="29"/>
        <v>0.28296826901575345</v>
      </c>
      <c r="AL92" s="76">
        <f t="shared" si="30"/>
        <v>2.8088474456494614</v>
      </c>
      <c r="AM92" s="76">
        <f t="shared" si="31"/>
        <v>1.8538393141286447</v>
      </c>
      <c r="AN92" s="76">
        <f t="shared" si="39"/>
        <v>33.538450980075311</v>
      </c>
      <c r="AO92" s="76">
        <f t="shared" si="32"/>
        <v>0.2972717251180757</v>
      </c>
      <c r="AP92" s="78">
        <f t="shared" si="11"/>
        <v>9.9700331806350047</v>
      </c>
      <c r="AQ92" s="78">
        <f t="shared" si="33"/>
        <v>0.36478003799043229</v>
      </c>
      <c r="AR92" s="78">
        <f t="shared" si="34"/>
        <v>13.473017811668925</v>
      </c>
      <c r="AS92" s="78">
        <f t="shared" si="35"/>
        <v>29.640639185671635</v>
      </c>
      <c r="AT92" s="78">
        <f t="shared" si="40"/>
        <v>27.331630413659056</v>
      </c>
      <c r="AU92" s="78">
        <f t="shared" si="37"/>
        <v>60.12958691004993</v>
      </c>
      <c r="AV92" s="78">
        <f t="shared" si="41"/>
        <v>8.1994891240977168</v>
      </c>
      <c r="AW92" s="79">
        <f t="shared" si="42"/>
        <v>1643.1533242812263</v>
      </c>
      <c r="AX92" s="79">
        <f t="shared" si="43"/>
        <v>16431.533242812264</v>
      </c>
      <c r="AY92" s="30"/>
      <c r="AZ92" s="1"/>
    </row>
    <row r="93" spans="1:52" x14ac:dyDescent="0.25">
      <c r="A93" s="47" t="s">
        <v>248</v>
      </c>
      <c r="B93" s="47"/>
      <c r="C93" s="48">
        <v>10</v>
      </c>
      <c r="D93" s="48">
        <v>37.1</v>
      </c>
      <c r="E93" s="48">
        <v>76.8</v>
      </c>
      <c r="F93" s="48">
        <v>3.5</v>
      </c>
      <c r="G93" s="48">
        <v>7.4</v>
      </c>
      <c r="H93" s="80">
        <f>'Fiber_Ash Inputs'!V66</f>
        <v>35.6</v>
      </c>
      <c r="I93" s="80">
        <f>'Fiber_Ash Inputs'!W66</f>
        <v>64.2</v>
      </c>
      <c r="J93" s="80">
        <f>'Fiber_Ash Inputs'!X66</f>
        <v>7.9</v>
      </c>
      <c r="K93" s="80">
        <f>'Fiber_Ash Inputs'!U66</f>
        <v>3</v>
      </c>
      <c r="L93" s="76">
        <f t="shared" si="15"/>
        <v>24.35079535546226</v>
      </c>
      <c r="M93" s="76">
        <f t="shared" si="16"/>
        <v>94.616843393682686</v>
      </c>
      <c r="N93" s="76">
        <f t="shared" si="2"/>
        <v>22.191011235955056</v>
      </c>
      <c r="O93" s="76">
        <f t="shared" si="17"/>
        <v>22.191011235955056</v>
      </c>
      <c r="P93" s="76">
        <f>(100*((LN((100-O93)-I93)-4.6052)/-'Fiber_Ash Inputs'!$D$17))*'Fiber_Ash Inputs'!$C$17</f>
        <v>7.3869240261072449</v>
      </c>
      <c r="Q93" s="76">
        <f t="shared" si="18"/>
        <v>58.830414718402729</v>
      </c>
      <c r="R93" s="76">
        <f>IF('Fiber_Ash Inputs'!$B$11=30,I93,IF('Fiber_Ash Inputs'!$B$11=48,I93*0.926))</f>
        <v>64.2</v>
      </c>
      <c r="S93" s="76">
        <f t="shared" si="3"/>
        <v>5.6980000000000004</v>
      </c>
      <c r="T93" s="76">
        <f t="shared" si="4"/>
        <v>1.7094</v>
      </c>
      <c r="U93" s="46">
        <f t="shared" si="5"/>
        <v>2.5</v>
      </c>
      <c r="V93" s="77">
        <f t="shared" si="6"/>
        <v>14.399999999999997</v>
      </c>
      <c r="W93" s="76">
        <f t="shared" si="19"/>
        <v>4.5856445751997779</v>
      </c>
      <c r="X93" s="76">
        <f t="shared" si="20"/>
        <v>2.8283731001045389</v>
      </c>
      <c r="Y93" s="76">
        <f t="shared" si="21"/>
        <v>1.4298208821942155</v>
      </c>
      <c r="Z93" s="76">
        <f t="shared" si="7"/>
        <v>3.4787109692996374</v>
      </c>
      <c r="AA93" s="76">
        <f t="shared" si="8"/>
        <v>1.0436132907898912</v>
      </c>
      <c r="AB93" s="76">
        <f t="shared" si="22"/>
        <v>3.5106375837640469</v>
      </c>
      <c r="AC93" s="76">
        <f t="shared" si="23"/>
        <v>2.1952587200950457</v>
      </c>
      <c r="AD93" s="76">
        <f t="shared" si="24"/>
        <v>15.518325182771083</v>
      </c>
      <c r="AE93" s="76">
        <f t="shared" si="25"/>
        <v>3.2733558347128535</v>
      </c>
      <c r="AF93" s="46">
        <f t="shared" si="26"/>
        <v>6.0000000000000005E-2</v>
      </c>
      <c r="AG93" s="76">
        <f t="shared" si="27"/>
        <v>0.42414112853447733</v>
      </c>
      <c r="AH93" s="76">
        <f t="shared" si="38"/>
        <v>0.82301469114619663</v>
      </c>
      <c r="AI93" s="50">
        <f t="shared" si="9"/>
        <v>339.84845660228433</v>
      </c>
      <c r="AJ93" s="76">
        <f t="shared" si="28"/>
        <v>0.18154012004763848</v>
      </c>
      <c r="AK93" s="76">
        <f t="shared" si="29"/>
        <v>0.28296826901575345</v>
      </c>
      <c r="AL93" s="76">
        <f t="shared" si="30"/>
        <v>2.8088474456494614</v>
      </c>
      <c r="AM93" s="76">
        <f t="shared" si="31"/>
        <v>1.8538393141286447</v>
      </c>
      <c r="AN93" s="76">
        <f t="shared" si="39"/>
        <v>33.538450980075311</v>
      </c>
      <c r="AO93" s="76">
        <f t="shared" si="32"/>
        <v>0.2972717251180757</v>
      </c>
      <c r="AP93" s="78">
        <f t="shared" si="11"/>
        <v>9.9700331806350047</v>
      </c>
      <c r="AQ93" s="78">
        <f t="shared" si="33"/>
        <v>0.36478003799043229</v>
      </c>
      <c r="AR93" s="78">
        <f t="shared" si="34"/>
        <v>13.473017811668925</v>
      </c>
      <c r="AS93" s="78">
        <f t="shared" si="35"/>
        <v>29.640639185671635</v>
      </c>
      <c r="AT93" s="78">
        <f t="shared" si="40"/>
        <v>27.331630413659056</v>
      </c>
      <c r="AU93" s="78">
        <f t="shared" si="37"/>
        <v>60.12958691004993</v>
      </c>
      <c r="AV93" s="78">
        <f t="shared" si="41"/>
        <v>8.1994891240977168</v>
      </c>
      <c r="AW93" s="79">
        <f t="shared" si="42"/>
        <v>1643.1533242812263</v>
      </c>
      <c r="AX93" s="79">
        <f t="shared" si="43"/>
        <v>16431.533242812264</v>
      </c>
      <c r="AY93" s="30"/>
      <c r="AZ93" s="1"/>
    </row>
    <row r="94" spans="1:52" x14ac:dyDescent="0.25">
      <c r="A94" s="47" t="s">
        <v>249</v>
      </c>
      <c r="B94" s="47"/>
      <c r="C94" s="48">
        <v>10</v>
      </c>
      <c r="D94" s="48">
        <v>37.1</v>
      </c>
      <c r="E94" s="48">
        <v>76.8</v>
      </c>
      <c r="F94" s="48">
        <v>3.5</v>
      </c>
      <c r="G94" s="48">
        <v>7.4</v>
      </c>
      <c r="H94" s="80">
        <f>'Fiber_Ash Inputs'!V67</f>
        <v>35.6</v>
      </c>
      <c r="I94" s="80">
        <f>'Fiber_Ash Inputs'!W67</f>
        <v>64.2</v>
      </c>
      <c r="J94" s="80">
        <f>'Fiber_Ash Inputs'!X67</f>
        <v>7.9</v>
      </c>
      <c r="K94" s="80">
        <f>'Fiber_Ash Inputs'!U67</f>
        <v>3</v>
      </c>
      <c r="L94" s="76">
        <f t="shared" si="15"/>
        <v>24.35079535546226</v>
      </c>
      <c r="M94" s="76">
        <f t="shared" si="16"/>
        <v>94.616843393682686</v>
      </c>
      <c r="N94" s="76">
        <f t="shared" si="2"/>
        <v>22.191011235955056</v>
      </c>
      <c r="O94" s="76">
        <f t="shared" si="17"/>
        <v>22.191011235955056</v>
      </c>
      <c r="P94" s="76">
        <f>(100*((LN((100-O94)-I94)-4.6052)/-'Fiber_Ash Inputs'!$D$17))*'Fiber_Ash Inputs'!$C$17</f>
        <v>7.3869240261072449</v>
      </c>
      <c r="Q94" s="76">
        <f t="shared" si="18"/>
        <v>58.830414718402729</v>
      </c>
      <c r="R94" s="76">
        <f>IF('Fiber_Ash Inputs'!$B$11=30,I94,IF('Fiber_Ash Inputs'!$B$11=48,I94*0.926))</f>
        <v>64.2</v>
      </c>
      <c r="S94" s="76">
        <f t="shared" si="3"/>
        <v>5.6980000000000004</v>
      </c>
      <c r="T94" s="76">
        <f t="shared" si="4"/>
        <v>1.7094</v>
      </c>
      <c r="U94" s="46">
        <f t="shared" si="5"/>
        <v>2.5</v>
      </c>
      <c r="V94" s="77">
        <f t="shared" si="6"/>
        <v>14.399999999999997</v>
      </c>
      <c r="W94" s="76">
        <f t="shared" si="19"/>
        <v>4.5856445751997779</v>
      </c>
      <c r="X94" s="76">
        <f t="shared" si="20"/>
        <v>2.8283731001045389</v>
      </c>
      <c r="Y94" s="76">
        <f t="shared" si="21"/>
        <v>1.4298208821942155</v>
      </c>
      <c r="Z94" s="76">
        <f t="shared" si="7"/>
        <v>3.4787109692996374</v>
      </c>
      <c r="AA94" s="76">
        <f t="shared" si="8"/>
        <v>1.0436132907898912</v>
      </c>
      <c r="AB94" s="76">
        <f t="shared" si="22"/>
        <v>3.5106375837640469</v>
      </c>
      <c r="AC94" s="76">
        <f t="shared" si="23"/>
        <v>2.1952587200950457</v>
      </c>
      <c r="AD94" s="76">
        <f t="shared" si="24"/>
        <v>15.518325182771083</v>
      </c>
      <c r="AE94" s="76">
        <f t="shared" si="25"/>
        <v>3.2733558347128535</v>
      </c>
      <c r="AF94" s="46">
        <f t="shared" si="26"/>
        <v>6.0000000000000005E-2</v>
      </c>
      <c r="AG94" s="76">
        <f t="shared" si="27"/>
        <v>0.42414112853447733</v>
      </c>
      <c r="AH94" s="76">
        <f t="shared" si="38"/>
        <v>0.82301469114619663</v>
      </c>
      <c r="AI94" s="50">
        <f t="shared" si="9"/>
        <v>339.84845660228433</v>
      </c>
      <c r="AJ94" s="76">
        <f t="shared" si="28"/>
        <v>0.18154012004763848</v>
      </c>
      <c r="AK94" s="76">
        <f t="shared" si="29"/>
        <v>0.28296826901575345</v>
      </c>
      <c r="AL94" s="76">
        <f t="shared" si="30"/>
        <v>2.8088474456494614</v>
      </c>
      <c r="AM94" s="76">
        <f t="shared" si="31"/>
        <v>1.8538393141286447</v>
      </c>
      <c r="AN94" s="76">
        <f t="shared" si="39"/>
        <v>33.538450980075311</v>
      </c>
      <c r="AO94" s="76">
        <f t="shared" si="32"/>
        <v>0.2972717251180757</v>
      </c>
      <c r="AP94" s="78">
        <f t="shared" si="11"/>
        <v>9.9700331806350047</v>
      </c>
      <c r="AQ94" s="78">
        <f t="shared" si="33"/>
        <v>0.36478003799043229</v>
      </c>
      <c r="AR94" s="78">
        <f t="shared" si="34"/>
        <v>13.473017811668925</v>
      </c>
      <c r="AS94" s="78">
        <f t="shared" si="35"/>
        <v>29.640639185671635</v>
      </c>
      <c r="AT94" s="78">
        <f t="shared" si="40"/>
        <v>27.331630413659056</v>
      </c>
      <c r="AU94" s="78">
        <f t="shared" si="37"/>
        <v>60.12958691004993</v>
      </c>
      <c r="AV94" s="78">
        <f t="shared" si="41"/>
        <v>8.1994891240977168</v>
      </c>
      <c r="AW94" s="79">
        <f t="shared" si="42"/>
        <v>1643.1533242812263</v>
      </c>
      <c r="AX94" s="79">
        <f t="shared" si="43"/>
        <v>16431.533242812264</v>
      </c>
      <c r="AY94" s="30"/>
      <c r="AZ94" s="1"/>
    </row>
    <row r="95" spans="1:52" x14ac:dyDescent="0.25">
      <c r="A95" s="47" t="s">
        <v>250</v>
      </c>
      <c r="B95" s="47"/>
      <c r="C95" s="48">
        <v>10</v>
      </c>
      <c r="D95" s="48">
        <v>37.1</v>
      </c>
      <c r="E95" s="48">
        <v>76.8</v>
      </c>
      <c r="F95" s="48">
        <v>3.5</v>
      </c>
      <c r="G95" s="48">
        <v>7.4</v>
      </c>
      <c r="H95" s="80">
        <f>'Fiber_Ash Inputs'!V68</f>
        <v>35.6</v>
      </c>
      <c r="I95" s="80">
        <f>'Fiber_Ash Inputs'!W68</f>
        <v>64.2</v>
      </c>
      <c r="J95" s="80">
        <f>'Fiber_Ash Inputs'!X68</f>
        <v>7.9</v>
      </c>
      <c r="K95" s="80">
        <f>'Fiber_Ash Inputs'!U68</f>
        <v>3</v>
      </c>
      <c r="L95" s="76">
        <f t="shared" si="15"/>
        <v>24.35079535546226</v>
      </c>
      <c r="M95" s="76">
        <f t="shared" si="16"/>
        <v>94.616843393682686</v>
      </c>
      <c r="N95" s="76">
        <f t="shared" si="2"/>
        <v>22.191011235955056</v>
      </c>
      <c r="O95" s="76">
        <f t="shared" si="17"/>
        <v>22.191011235955056</v>
      </c>
      <c r="P95" s="76">
        <f>(100*((LN((100-O95)-I95)-4.6052)/-'Fiber_Ash Inputs'!$D$17))*'Fiber_Ash Inputs'!$C$17</f>
        <v>7.3869240261072449</v>
      </c>
      <c r="Q95" s="76">
        <f t="shared" si="18"/>
        <v>58.830414718402729</v>
      </c>
      <c r="R95" s="76">
        <f>IF('Fiber_Ash Inputs'!$B$11=30,I95,IF('Fiber_Ash Inputs'!$B$11=48,I95*0.926))</f>
        <v>64.2</v>
      </c>
      <c r="S95" s="76">
        <f t="shared" si="3"/>
        <v>5.6980000000000004</v>
      </c>
      <c r="T95" s="76">
        <f t="shared" si="4"/>
        <v>1.7094</v>
      </c>
      <c r="U95" s="46">
        <f t="shared" si="5"/>
        <v>2.5</v>
      </c>
      <c r="V95" s="77">
        <f t="shared" si="6"/>
        <v>14.399999999999997</v>
      </c>
      <c r="W95" s="76">
        <f t="shared" si="19"/>
        <v>4.5856445751997779</v>
      </c>
      <c r="X95" s="76">
        <f t="shared" si="20"/>
        <v>2.8283731001045389</v>
      </c>
      <c r="Y95" s="76">
        <f t="shared" si="21"/>
        <v>1.4298208821942155</v>
      </c>
      <c r="Z95" s="76">
        <f t="shared" si="7"/>
        <v>3.4787109692996374</v>
      </c>
      <c r="AA95" s="76">
        <f t="shared" si="8"/>
        <v>1.0436132907898912</v>
      </c>
      <c r="AB95" s="76">
        <f t="shared" si="22"/>
        <v>3.5106375837640469</v>
      </c>
      <c r="AC95" s="76">
        <f t="shared" si="23"/>
        <v>2.1952587200950457</v>
      </c>
      <c r="AD95" s="76">
        <f t="shared" si="24"/>
        <v>15.518325182771083</v>
      </c>
      <c r="AE95" s="76">
        <f t="shared" si="25"/>
        <v>3.2733558347128535</v>
      </c>
      <c r="AF95" s="46">
        <f t="shared" si="26"/>
        <v>6.0000000000000005E-2</v>
      </c>
      <c r="AG95" s="76">
        <f t="shared" si="27"/>
        <v>0.42414112853447733</v>
      </c>
      <c r="AH95" s="76">
        <f t="shared" si="38"/>
        <v>0.82301469114619663</v>
      </c>
      <c r="AI95" s="50">
        <f t="shared" si="9"/>
        <v>339.84845660228433</v>
      </c>
      <c r="AJ95" s="76">
        <f t="shared" si="28"/>
        <v>0.18154012004763848</v>
      </c>
      <c r="AK95" s="76">
        <f t="shared" si="29"/>
        <v>0.28296826901575345</v>
      </c>
      <c r="AL95" s="76">
        <f t="shared" si="30"/>
        <v>2.8088474456494614</v>
      </c>
      <c r="AM95" s="76">
        <f t="shared" si="31"/>
        <v>1.8538393141286447</v>
      </c>
      <c r="AN95" s="76">
        <f t="shared" si="39"/>
        <v>33.538450980075311</v>
      </c>
      <c r="AO95" s="76">
        <f t="shared" si="32"/>
        <v>0.2972717251180757</v>
      </c>
      <c r="AP95" s="78">
        <f t="shared" si="11"/>
        <v>9.9700331806350047</v>
      </c>
      <c r="AQ95" s="78">
        <f t="shared" si="33"/>
        <v>0.36478003799043229</v>
      </c>
      <c r="AR95" s="78">
        <f t="shared" si="34"/>
        <v>13.473017811668925</v>
      </c>
      <c r="AS95" s="78">
        <f t="shared" si="35"/>
        <v>29.640639185671635</v>
      </c>
      <c r="AT95" s="78">
        <f t="shared" si="40"/>
        <v>27.331630413659056</v>
      </c>
      <c r="AU95" s="78">
        <f t="shared" si="37"/>
        <v>60.12958691004993</v>
      </c>
      <c r="AV95" s="78">
        <f t="shared" si="41"/>
        <v>8.1994891240977168</v>
      </c>
      <c r="AW95" s="79">
        <f t="shared" si="42"/>
        <v>1643.1533242812263</v>
      </c>
      <c r="AX95" s="79">
        <f t="shared" si="43"/>
        <v>16431.533242812264</v>
      </c>
      <c r="AY95" s="30"/>
      <c r="AZ95" s="1"/>
    </row>
    <row r="96" spans="1:52" x14ac:dyDescent="0.25">
      <c r="A96" s="47" t="s">
        <v>251</v>
      </c>
      <c r="B96" s="47"/>
      <c r="C96" s="48">
        <v>10</v>
      </c>
      <c r="D96" s="48">
        <v>37.1</v>
      </c>
      <c r="E96" s="48">
        <v>76.8</v>
      </c>
      <c r="F96" s="48">
        <v>3.5</v>
      </c>
      <c r="G96" s="48">
        <v>7.4</v>
      </c>
      <c r="H96" s="80">
        <f>'Fiber_Ash Inputs'!V69</f>
        <v>35.6</v>
      </c>
      <c r="I96" s="80">
        <f>'Fiber_Ash Inputs'!W69</f>
        <v>64.2</v>
      </c>
      <c r="J96" s="80">
        <f>'Fiber_Ash Inputs'!X69</f>
        <v>7.9</v>
      </c>
      <c r="K96" s="80">
        <f>'Fiber_Ash Inputs'!U69</f>
        <v>3</v>
      </c>
      <c r="L96" s="76">
        <f t="shared" si="15"/>
        <v>24.35079535546226</v>
      </c>
      <c r="M96" s="76">
        <f t="shared" si="16"/>
        <v>94.616843393682686</v>
      </c>
      <c r="N96" s="76">
        <f t="shared" si="2"/>
        <v>22.191011235955056</v>
      </c>
      <c r="O96" s="76">
        <f t="shared" si="17"/>
        <v>22.191011235955056</v>
      </c>
      <c r="P96" s="76">
        <f>(100*((LN((100-O96)-I96)-4.6052)/-'Fiber_Ash Inputs'!$D$17))*'Fiber_Ash Inputs'!$C$17</f>
        <v>7.3869240261072449</v>
      </c>
      <c r="Q96" s="76">
        <f t="shared" si="18"/>
        <v>58.830414718402729</v>
      </c>
      <c r="R96" s="76">
        <f>IF('Fiber_Ash Inputs'!$B$11=30,I96,IF('Fiber_Ash Inputs'!$B$11=48,I96*0.926))</f>
        <v>64.2</v>
      </c>
      <c r="S96" s="76">
        <f t="shared" si="3"/>
        <v>5.6980000000000004</v>
      </c>
      <c r="T96" s="76">
        <f t="shared" si="4"/>
        <v>1.7094</v>
      </c>
      <c r="U96" s="46">
        <f t="shared" si="5"/>
        <v>2.5</v>
      </c>
      <c r="V96" s="77">
        <f t="shared" si="6"/>
        <v>14.399999999999997</v>
      </c>
      <c r="W96" s="76">
        <f t="shared" si="19"/>
        <v>4.5856445751997779</v>
      </c>
      <c r="X96" s="76">
        <f t="shared" si="20"/>
        <v>2.8283731001045389</v>
      </c>
      <c r="Y96" s="76">
        <f t="shared" si="21"/>
        <v>1.4298208821942155</v>
      </c>
      <c r="Z96" s="76">
        <f t="shared" si="7"/>
        <v>3.4787109692996374</v>
      </c>
      <c r="AA96" s="76">
        <f t="shared" si="8"/>
        <v>1.0436132907898912</v>
      </c>
      <c r="AB96" s="76">
        <f t="shared" si="22"/>
        <v>3.5106375837640469</v>
      </c>
      <c r="AC96" s="76">
        <f t="shared" si="23"/>
        <v>2.1952587200950457</v>
      </c>
      <c r="AD96" s="76">
        <f t="shared" si="24"/>
        <v>15.518325182771083</v>
      </c>
      <c r="AE96" s="76">
        <f t="shared" si="25"/>
        <v>3.2733558347128535</v>
      </c>
      <c r="AF96" s="46">
        <f t="shared" si="26"/>
        <v>6.0000000000000005E-2</v>
      </c>
      <c r="AG96" s="76">
        <f t="shared" si="27"/>
        <v>0.42414112853447733</v>
      </c>
      <c r="AH96" s="76">
        <f t="shared" si="38"/>
        <v>0.82301469114619663</v>
      </c>
      <c r="AI96" s="50">
        <f t="shared" si="9"/>
        <v>339.84845660228433</v>
      </c>
      <c r="AJ96" s="76">
        <f t="shared" si="28"/>
        <v>0.18154012004763848</v>
      </c>
      <c r="AK96" s="76">
        <f t="shared" si="29"/>
        <v>0.28296826901575345</v>
      </c>
      <c r="AL96" s="76">
        <f t="shared" si="30"/>
        <v>2.8088474456494614</v>
      </c>
      <c r="AM96" s="76">
        <f t="shared" si="31"/>
        <v>1.8538393141286447</v>
      </c>
      <c r="AN96" s="76">
        <f t="shared" si="39"/>
        <v>33.538450980075311</v>
      </c>
      <c r="AO96" s="76">
        <f t="shared" si="32"/>
        <v>0.2972717251180757</v>
      </c>
      <c r="AP96" s="78">
        <f t="shared" si="11"/>
        <v>9.9700331806350047</v>
      </c>
      <c r="AQ96" s="78">
        <f t="shared" si="33"/>
        <v>0.36478003799043229</v>
      </c>
      <c r="AR96" s="78">
        <f t="shared" si="34"/>
        <v>13.473017811668925</v>
      </c>
      <c r="AS96" s="78">
        <f t="shared" si="35"/>
        <v>29.640639185671635</v>
      </c>
      <c r="AT96" s="78">
        <f t="shared" si="40"/>
        <v>27.331630413659056</v>
      </c>
      <c r="AU96" s="78">
        <f t="shared" si="37"/>
        <v>60.12958691004993</v>
      </c>
      <c r="AV96" s="78">
        <f t="shared" si="41"/>
        <v>8.1994891240977168</v>
      </c>
      <c r="AW96" s="79">
        <f t="shared" si="42"/>
        <v>1643.1533242812263</v>
      </c>
      <c r="AX96" s="79">
        <f t="shared" si="43"/>
        <v>16431.533242812264</v>
      </c>
      <c r="AY96" s="30"/>
      <c r="AZ96" s="1"/>
    </row>
    <row r="97" spans="1:52" x14ac:dyDescent="0.25">
      <c r="A97" s="47" t="s">
        <v>252</v>
      </c>
      <c r="B97" s="47"/>
      <c r="C97" s="48">
        <v>10</v>
      </c>
      <c r="D97" s="48">
        <v>37.1</v>
      </c>
      <c r="E97" s="48">
        <v>76.8</v>
      </c>
      <c r="F97" s="48">
        <v>3.5</v>
      </c>
      <c r="G97" s="48">
        <v>7.4</v>
      </c>
      <c r="H97" s="80">
        <f>'Fiber_Ash Inputs'!V70</f>
        <v>35.6</v>
      </c>
      <c r="I97" s="80">
        <f>'Fiber_Ash Inputs'!W70</f>
        <v>64.2</v>
      </c>
      <c r="J97" s="80">
        <f>'Fiber_Ash Inputs'!X70</f>
        <v>7.9</v>
      </c>
      <c r="K97" s="80">
        <f>'Fiber_Ash Inputs'!U70</f>
        <v>3</v>
      </c>
      <c r="L97" s="76">
        <f t="shared" si="15"/>
        <v>24.35079535546226</v>
      </c>
      <c r="M97" s="76">
        <f t="shared" si="16"/>
        <v>94.616843393682686</v>
      </c>
      <c r="N97" s="76">
        <f t="shared" si="2"/>
        <v>22.191011235955056</v>
      </c>
      <c r="O97" s="76">
        <f t="shared" si="17"/>
        <v>22.191011235955056</v>
      </c>
      <c r="P97" s="76">
        <f>(100*((LN((100-O97)-I97)-4.6052)/-'Fiber_Ash Inputs'!$D$17))*'Fiber_Ash Inputs'!$C$17</f>
        <v>7.3869240261072449</v>
      </c>
      <c r="Q97" s="76">
        <f t="shared" si="18"/>
        <v>58.830414718402729</v>
      </c>
      <c r="R97" s="76">
        <f>IF('Fiber_Ash Inputs'!$B$11=30,I97,IF('Fiber_Ash Inputs'!$B$11=48,I97*0.926))</f>
        <v>64.2</v>
      </c>
      <c r="S97" s="76">
        <f t="shared" si="3"/>
        <v>5.6980000000000004</v>
      </c>
      <c r="T97" s="76">
        <f t="shared" si="4"/>
        <v>1.7094</v>
      </c>
      <c r="U97" s="46">
        <f t="shared" si="5"/>
        <v>2.5</v>
      </c>
      <c r="V97" s="77">
        <f t="shared" si="6"/>
        <v>14.399999999999997</v>
      </c>
      <c r="W97" s="76">
        <f t="shared" si="19"/>
        <v>4.5856445751997779</v>
      </c>
      <c r="X97" s="76">
        <f t="shared" si="20"/>
        <v>2.8283731001045389</v>
      </c>
      <c r="Y97" s="76">
        <f t="shared" si="21"/>
        <v>1.4298208821942155</v>
      </c>
      <c r="Z97" s="76">
        <f t="shared" si="7"/>
        <v>3.4787109692996374</v>
      </c>
      <c r="AA97" s="76">
        <f t="shared" si="8"/>
        <v>1.0436132907898912</v>
      </c>
      <c r="AB97" s="76">
        <f t="shared" si="22"/>
        <v>3.5106375837640469</v>
      </c>
      <c r="AC97" s="76">
        <f t="shared" si="23"/>
        <v>2.1952587200950457</v>
      </c>
      <c r="AD97" s="76">
        <f t="shared" si="24"/>
        <v>15.518325182771083</v>
      </c>
      <c r="AE97" s="76">
        <f t="shared" si="25"/>
        <v>3.2733558347128535</v>
      </c>
      <c r="AF97" s="46">
        <f t="shared" si="26"/>
        <v>6.0000000000000005E-2</v>
      </c>
      <c r="AG97" s="76">
        <f t="shared" si="27"/>
        <v>0.42414112853447733</v>
      </c>
      <c r="AH97" s="76">
        <f t="shared" si="38"/>
        <v>0.82301469114619663</v>
      </c>
      <c r="AI97" s="50">
        <f t="shared" si="9"/>
        <v>339.84845660228433</v>
      </c>
      <c r="AJ97" s="76">
        <f t="shared" si="28"/>
        <v>0.18154012004763848</v>
      </c>
      <c r="AK97" s="76">
        <f t="shared" si="29"/>
        <v>0.28296826901575345</v>
      </c>
      <c r="AL97" s="76">
        <f t="shared" si="30"/>
        <v>2.8088474456494614</v>
      </c>
      <c r="AM97" s="76">
        <f t="shared" si="31"/>
        <v>1.8538393141286447</v>
      </c>
      <c r="AN97" s="76">
        <f t="shared" si="39"/>
        <v>33.538450980075311</v>
      </c>
      <c r="AO97" s="76">
        <f t="shared" si="32"/>
        <v>0.2972717251180757</v>
      </c>
      <c r="AP97" s="78">
        <f t="shared" si="11"/>
        <v>9.9700331806350047</v>
      </c>
      <c r="AQ97" s="78">
        <f t="shared" si="33"/>
        <v>0.36478003799043229</v>
      </c>
      <c r="AR97" s="78">
        <f t="shared" si="34"/>
        <v>13.473017811668925</v>
      </c>
      <c r="AS97" s="78">
        <f t="shared" si="35"/>
        <v>29.640639185671635</v>
      </c>
      <c r="AT97" s="78">
        <f t="shared" si="40"/>
        <v>27.331630413659056</v>
      </c>
      <c r="AU97" s="78">
        <f t="shared" si="37"/>
        <v>60.12958691004993</v>
      </c>
      <c r="AV97" s="78">
        <f t="shared" si="41"/>
        <v>8.1994891240977168</v>
      </c>
      <c r="AW97" s="79">
        <f t="shared" si="42"/>
        <v>1643.1533242812263</v>
      </c>
      <c r="AX97" s="79">
        <f t="shared" si="43"/>
        <v>16431.533242812264</v>
      </c>
      <c r="AY97" s="30"/>
      <c r="AZ97" s="1"/>
    </row>
    <row r="98" spans="1:52" x14ac:dyDescent="0.25">
      <c r="A98" s="47" t="s">
        <v>253</v>
      </c>
      <c r="B98" s="47"/>
      <c r="C98" s="48">
        <v>10</v>
      </c>
      <c r="D98" s="48">
        <v>37.1</v>
      </c>
      <c r="E98" s="48">
        <v>76.8</v>
      </c>
      <c r="F98" s="48">
        <v>3.5</v>
      </c>
      <c r="G98" s="48">
        <v>7.4</v>
      </c>
      <c r="H98" s="80">
        <f>'Fiber_Ash Inputs'!V71</f>
        <v>35.6</v>
      </c>
      <c r="I98" s="80">
        <f>'Fiber_Ash Inputs'!W71</f>
        <v>64.2</v>
      </c>
      <c r="J98" s="80">
        <f>'Fiber_Ash Inputs'!X71</f>
        <v>7.9</v>
      </c>
      <c r="K98" s="80">
        <f>'Fiber_Ash Inputs'!U71</f>
        <v>3</v>
      </c>
      <c r="L98" s="76">
        <f t="shared" si="15"/>
        <v>24.35079535546226</v>
      </c>
      <c r="M98" s="76">
        <f t="shared" si="16"/>
        <v>94.616843393682686</v>
      </c>
      <c r="N98" s="76">
        <f t="shared" si="2"/>
        <v>22.191011235955056</v>
      </c>
      <c r="O98" s="76">
        <f t="shared" si="17"/>
        <v>22.191011235955056</v>
      </c>
      <c r="P98" s="76">
        <f>(100*((LN((100-O98)-I98)-4.6052)/-'Fiber_Ash Inputs'!$D$17))*'Fiber_Ash Inputs'!$C$17</f>
        <v>7.3869240261072449</v>
      </c>
      <c r="Q98" s="76">
        <f t="shared" si="18"/>
        <v>58.830414718402729</v>
      </c>
      <c r="R98" s="76">
        <f>IF('Fiber_Ash Inputs'!$B$11=30,I98,IF('Fiber_Ash Inputs'!$B$11=48,I98*0.926))</f>
        <v>64.2</v>
      </c>
      <c r="S98" s="76">
        <f t="shared" si="3"/>
        <v>5.6980000000000004</v>
      </c>
      <c r="T98" s="76">
        <f t="shared" si="4"/>
        <v>1.7094</v>
      </c>
      <c r="U98" s="46">
        <f t="shared" si="5"/>
        <v>2.5</v>
      </c>
      <c r="V98" s="77">
        <f t="shared" si="6"/>
        <v>14.399999999999997</v>
      </c>
      <c r="W98" s="76">
        <f t="shared" si="19"/>
        <v>4.5856445751997779</v>
      </c>
      <c r="X98" s="76">
        <f t="shared" si="20"/>
        <v>2.8283731001045389</v>
      </c>
      <c r="Y98" s="76">
        <f t="shared" si="21"/>
        <v>1.4298208821942155</v>
      </c>
      <c r="Z98" s="76">
        <f t="shared" si="7"/>
        <v>3.4787109692996374</v>
      </c>
      <c r="AA98" s="76">
        <f t="shared" si="8"/>
        <v>1.0436132907898912</v>
      </c>
      <c r="AB98" s="76">
        <f t="shared" si="22"/>
        <v>3.5106375837640469</v>
      </c>
      <c r="AC98" s="76">
        <f t="shared" si="23"/>
        <v>2.1952587200950457</v>
      </c>
      <c r="AD98" s="76">
        <f t="shared" si="24"/>
        <v>15.518325182771083</v>
      </c>
      <c r="AE98" s="76">
        <f t="shared" si="25"/>
        <v>3.2733558347128535</v>
      </c>
      <c r="AF98" s="46">
        <f t="shared" si="26"/>
        <v>6.0000000000000005E-2</v>
      </c>
      <c r="AG98" s="76">
        <f t="shared" si="27"/>
        <v>0.42414112853447733</v>
      </c>
      <c r="AH98" s="76">
        <f t="shared" si="38"/>
        <v>0.82301469114619663</v>
      </c>
      <c r="AI98" s="50">
        <f t="shared" si="9"/>
        <v>339.84845660228433</v>
      </c>
      <c r="AJ98" s="76">
        <f t="shared" si="28"/>
        <v>0.18154012004763848</v>
      </c>
      <c r="AK98" s="76">
        <f t="shared" si="29"/>
        <v>0.28296826901575345</v>
      </c>
      <c r="AL98" s="76">
        <f t="shared" si="30"/>
        <v>2.8088474456494614</v>
      </c>
      <c r="AM98" s="76">
        <f t="shared" si="31"/>
        <v>1.8538393141286447</v>
      </c>
      <c r="AN98" s="76">
        <f t="shared" si="39"/>
        <v>33.538450980075311</v>
      </c>
      <c r="AO98" s="76">
        <f t="shared" si="32"/>
        <v>0.2972717251180757</v>
      </c>
      <c r="AP98" s="78">
        <f t="shared" si="11"/>
        <v>9.9700331806350047</v>
      </c>
      <c r="AQ98" s="78">
        <f t="shared" si="33"/>
        <v>0.36478003799043229</v>
      </c>
      <c r="AR98" s="78">
        <f t="shared" si="34"/>
        <v>13.473017811668925</v>
      </c>
      <c r="AS98" s="78">
        <f t="shared" si="35"/>
        <v>29.640639185671635</v>
      </c>
      <c r="AT98" s="78">
        <f t="shared" si="40"/>
        <v>27.331630413659056</v>
      </c>
      <c r="AU98" s="78">
        <f t="shared" si="37"/>
        <v>60.12958691004993</v>
      </c>
      <c r="AV98" s="78">
        <f t="shared" si="41"/>
        <v>8.1994891240977168</v>
      </c>
      <c r="AW98" s="79">
        <f t="shared" si="42"/>
        <v>1643.1533242812263</v>
      </c>
      <c r="AX98" s="79">
        <f t="shared" si="43"/>
        <v>16431.533242812264</v>
      </c>
      <c r="AY98" s="30"/>
      <c r="AZ98" s="1"/>
    </row>
    <row r="99" spans="1:52" x14ac:dyDescent="0.25">
      <c r="A99" s="47" t="s">
        <v>254</v>
      </c>
      <c r="B99" s="47"/>
      <c r="C99" s="48">
        <v>10</v>
      </c>
      <c r="D99" s="48">
        <v>37.1</v>
      </c>
      <c r="E99" s="48">
        <v>76.8</v>
      </c>
      <c r="F99" s="48">
        <v>3.5</v>
      </c>
      <c r="G99" s="48">
        <v>7.4</v>
      </c>
      <c r="H99" s="80">
        <f>'Fiber_Ash Inputs'!V72</f>
        <v>35.6</v>
      </c>
      <c r="I99" s="80">
        <f>'Fiber_Ash Inputs'!W72</f>
        <v>64.2</v>
      </c>
      <c r="J99" s="80">
        <f>'Fiber_Ash Inputs'!X72</f>
        <v>7.9</v>
      </c>
      <c r="K99" s="80">
        <f>'Fiber_Ash Inputs'!U72</f>
        <v>3</v>
      </c>
      <c r="L99" s="76">
        <f t="shared" si="15"/>
        <v>24.35079535546226</v>
      </c>
      <c r="M99" s="76">
        <f t="shared" si="16"/>
        <v>94.616843393682686</v>
      </c>
      <c r="N99" s="76">
        <f t="shared" si="2"/>
        <v>22.191011235955056</v>
      </c>
      <c r="O99" s="76">
        <f t="shared" si="17"/>
        <v>22.191011235955056</v>
      </c>
      <c r="P99" s="76">
        <f>(100*((LN((100-O99)-I99)-4.6052)/-'Fiber_Ash Inputs'!$D$17))*'Fiber_Ash Inputs'!$C$17</f>
        <v>7.3869240261072449</v>
      </c>
      <c r="Q99" s="76">
        <f t="shared" si="18"/>
        <v>58.830414718402729</v>
      </c>
      <c r="R99" s="76">
        <f>IF('Fiber_Ash Inputs'!$B$11=30,I99,IF('Fiber_Ash Inputs'!$B$11=48,I99*0.926))</f>
        <v>64.2</v>
      </c>
      <c r="S99" s="76">
        <f t="shared" si="3"/>
        <v>5.6980000000000004</v>
      </c>
      <c r="T99" s="76">
        <f t="shared" si="4"/>
        <v>1.7094</v>
      </c>
      <c r="U99" s="46">
        <f t="shared" si="5"/>
        <v>2.5</v>
      </c>
      <c r="V99" s="77">
        <f t="shared" si="6"/>
        <v>14.399999999999997</v>
      </c>
      <c r="W99" s="76">
        <f t="shared" si="19"/>
        <v>4.5856445751997779</v>
      </c>
      <c r="X99" s="76">
        <f t="shared" si="20"/>
        <v>2.8283731001045389</v>
      </c>
      <c r="Y99" s="76">
        <f t="shared" si="21"/>
        <v>1.4298208821942155</v>
      </c>
      <c r="Z99" s="76">
        <f t="shared" si="7"/>
        <v>3.4787109692996374</v>
      </c>
      <c r="AA99" s="76">
        <f t="shared" si="8"/>
        <v>1.0436132907898912</v>
      </c>
      <c r="AB99" s="76">
        <f t="shared" si="22"/>
        <v>3.5106375837640469</v>
      </c>
      <c r="AC99" s="76">
        <f t="shared" si="23"/>
        <v>2.1952587200950457</v>
      </c>
      <c r="AD99" s="76">
        <f t="shared" si="24"/>
        <v>15.518325182771083</v>
      </c>
      <c r="AE99" s="76">
        <f t="shared" si="25"/>
        <v>3.2733558347128535</v>
      </c>
      <c r="AF99" s="46">
        <f t="shared" si="26"/>
        <v>6.0000000000000005E-2</v>
      </c>
      <c r="AG99" s="76">
        <f t="shared" si="27"/>
        <v>0.42414112853447733</v>
      </c>
      <c r="AH99" s="76">
        <f t="shared" si="38"/>
        <v>0.82301469114619663</v>
      </c>
      <c r="AI99" s="50">
        <f t="shared" si="9"/>
        <v>339.84845660228433</v>
      </c>
      <c r="AJ99" s="76">
        <f t="shared" si="28"/>
        <v>0.18154012004763848</v>
      </c>
      <c r="AK99" s="76">
        <f t="shared" si="29"/>
        <v>0.28296826901575345</v>
      </c>
      <c r="AL99" s="76">
        <f t="shared" si="30"/>
        <v>2.8088474456494614</v>
      </c>
      <c r="AM99" s="76">
        <f t="shared" si="31"/>
        <v>1.8538393141286447</v>
      </c>
      <c r="AN99" s="76">
        <f t="shared" si="39"/>
        <v>33.538450980075311</v>
      </c>
      <c r="AO99" s="76">
        <f t="shared" si="32"/>
        <v>0.2972717251180757</v>
      </c>
      <c r="AP99" s="78">
        <f t="shared" si="11"/>
        <v>9.9700331806350047</v>
      </c>
      <c r="AQ99" s="78">
        <f t="shared" si="33"/>
        <v>0.36478003799043229</v>
      </c>
      <c r="AR99" s="78">
        <f t="shared" si="34"/>
        <v>13.473017811668925</v>
      </c>
      <c r="AS99" s="78">
        <f t="shared" si="35"/>
        <v>29.640639185671635</v>
      </c>
      <c r="AT99" s="78">
        <f t="shared" si="40"/>
        <v>27.331630413659056</v>
      </c>
      <c r="AU99" s="78">
        <f t="shared" si="37"/>
        <v>60.12958691004993</v>
      </c>
      <c r="AV99" s="78">
        <f t="shared" si="41"/>
        <v>8.1994891240977168</v>
      </c>
      <c r="AW99" s="79">
        <f t="shared" si="42"/>
        <v>1643.1533242812263</v>
      </c>
      <c r="AX99" s="79">
        <f t="shared" si="43"/>
        <v>16431.533242812264</v>
      </c>
      <c r="AY99" s="30"/>
      <c r="AZ99" s="1"/>
    </row>
    <row r="100" spans="1:52" x14ac:dyDescent="0.25">
      <c r="A100" s="47" t="s">
        <v>255</v>
      </c>
      <c r="B100" s="47"/>
      <c r="C100" s="48">
        <v>10</v>
      </c>
      <c r="D100" s="48">
        <v>37.1</v>
      </c>
      <c r="E100" s="48">
        <v>76.8</v>
      </c>
      <c r="F100" s="48">
        <v>3.5</v>
      </c>
      <c r="G100" s="48">
        <v>7.4</v>
      </c>
      <c r="H100" s="80">
        <f>'Fiber_Ash Inputs'!V73</f>
        <v>35.6</v>
      </c>
      <c r="I100" s="80">
        <f>'Fiber_Ash Inputs'!W73</f>
        <v>64.2</v>
      </c>
      <c r="J100" s="80">
        <f>'Fiber_Ash Inputs'!X73</f>
        <v>7.9</v>
      </c>
      <c r="K100" s="80">
        <f>'Fiber_Ash Inputs'!U73</f>
        <v>3</v>
      </c>
      <c r="L100" s="76">
        <f t="shared" si="15"/>
        <v>24.35079535546226</v>
      </c>
      <c r="M100" s="76">
        <f t="shared" si="16"/>
        <v>94.616843393682686</v>
      </c>
      <c r="N100" s="76">
        <f t="shared" si="2"/>
        <v>22.191011235955056</v>
      </c>
      <c r="O100" s="76">
        <f t="shared" si="17"/>
        <v>22.191011235955056</v>
      </c>
      <c r="P100" s="76">
        <f>(100*((LN((100-O100)-I100)-4.6052)/-'Fiber_Ash Inputs'!$D$17))*'Fiber_Ash Inputs'!$C$17</f>
        <v>7.3869240261072449</v>
      </c>
      <c r="Q100" s="76">
        <f t="shared" si="18"/>
        <v>58.830414718402729</v>
      </c>
      <c r="R100" s="76">
        <f>IF('Fiber_Ash Inputs'!$B$11=30,I100,IF('Fiber_Ash Inputs'!$B$11=48,I100*0.926))</f>
        <v>64.2</v>
      </c>
      <c r="S100" s="76">
        <f t="shared" si="3"/>
        <v>5.6980000000000004</v>
      </c>
      <c r="T100" s="76">
        <f t="shared" si="4"/>
        <v>1.7094</v>
      </c>
      <c r="U100" s="46">
        <f t="shared" si="5"/>
        <v>2.5</v>
      </c>
      <c r="V100" s="77">
        <f t="shared" si="6"/>
        <v>14.399999999999997</v>
      </c>
      <c r="W100" s="76">
        <f t="shared" si="19"/>
        <v>4.5856445751997779</v>
      </c>
      <c r="X100" s="76">
        <f t="shared" si="20"/>
        <v>2.8283731001045389</v>
      </c>
      <c r="Y100" s="76">
        <f t="shared" si="21"/>
        <v>1.4298208821942155</v>
      </c>
      <c r="Z100" s="76">
        <f t="shared" si="7"/>
        <v>3.4787109692996374</v>
      </c>
      <c r="AA100" s="76">
        <f t="shared" si="8"/>
        <v>1.0436132907898912</v>
      </c>
      <c r="AB100" s="76">
        <f t="shared" si="22"/>
        <v>3.5106375837640469</v>
      </c>
      <c r="AC100" s="76">
        <f t="shared" si="23"/>
        <v>2.1952587200950457</v>
      </c>
      <c r="AD100" s="76">
        <f t="shared" si="24"/>
        <v>15.518325182771083</v>
      </c>
      <c r="AE100" s="76">
        <f t="shared" si="25"/>
        <v>3.2733558347128535</v>
      </c>
      <c r="AF100" s="46">
        <f t="shared" si="26"/>
        <v>6.0000000000000005E-2</v>
      </c>
      <c r="AG100" s="76">
        <f t="shared" si="27"/>
        <v>0.42414112853447733</v>
      </c>
      <c r="AH100" s="76">
        <f t="shared" si="38"/>
        <v>0.82301469114619663</v>
      </c>
      <c r="AI100" s="50">
        <f t="shared" si="9"/>
        <v>339.84845660228433</v>
      </c>
      <c r="AJ100" s="76">
        <f t="shared" si="28"/>
        <v>0.18154012004763848</v>
      </c>
      <c r="AK100" s="76">
        <f t="shared" si="29"/>
        <v>0.28296826901575345</v>
      </c>
      <c r="AL100" s="76">
        <f t="shared" si="30"/>
        <v>2.8088474456494614</v>
      </c>
      <c r="AM100" s="76">
        <f t="shared" si="31"/>
        <v>1.8538393141286447</v>
      </c>
      <c r="AN100" s="76">
        <f t="shared" si="39"/>
        <v>33.538450980075311</v>
      </c>
      <c r="AO100" s="76">
        <f t="shared" si="32"/>
        <v>0.2972717251180757</v>
      </c>
      <c r="AP100" s="78">
        <f t="shared" si="11"/>
        <v>9.9700331806350047</v>
      </c>
      <c r="AQ100" s="78">
        <f t="shared" si="33"/>
        <v>0.36478003799043229</v>
      </c>
      <c r="AR100" s="78">
        <f t="shared" si="34"/>
        <v>13.473017811668925</v>
      </c>
      <c r="AS100" s="78">
        <f t="shared" si="35"/>
        <v>29.640639185671635</v>
      </c>
      <c r="AT100" s="78">
        <f t="shared" si="40"/>
        <v>27.331630413659056</v>
      </c>
      <c r="AU100" s="78">
        <f t="shared" si="37"/>
        <v>60.12958691004993</v>
      </c>
      <c r="AV100" s="78">
        <f t="shared" si="41"/>
        <v>8.1994891240977168</v>
      </c>
      <c r="AW100" s="79">
        <f t="shared" si="42"/>
        <v>1643.1533242812263</v>
      </c>
      <c r="AX100" s="79">
        <f t="shared" si="43"/>
        <v>16431.533242812264</v>
      </c>
      <c r="AY100" s="30"/>
      <c r="AZ100" s="1"/>
    </row>
    <row r="101" spans="1:52" x14ac:dyDescent="0.25">
      <c r="A101" s="47" t="s">
        <v>256</v>
      </c>
      <c r="B101" s="47"/>
      <c r="C101" s="48">
        <v>10</v>
      </c>
      <c r="D101" s="48">
        <v>37.1</v>
      </c>
      <c r="E101" s="48">
        <v>76.8</v>
      </c>
      <c r="F101" s="48">
        <v>3.5</v>
      </c>
      <c r="G101" s="48">
        <v>7.4</v>
      </c>
      <c r="H101" s="80">
        <f>'Fiber_Ash Inputs'!V74</f>
        <v>35.6</v>
      </c>
      <c r="I101" s="80">
        <f>'Fiber_Ash Inputs'!W74</f>
        <v>64.2</v>
      </c>
      <c r="J101" s="80">
        <f>'Fiber_Ash Inputs'!X74</f>
        <v>7.9</v>
      </c>
      <c r="K101" s="80">
        <f>'Fiber_Ash Inputs'!U74</f>
        <v>3</v>
      </c>
      <c r="L101" s="76">
        <f t="shared" si="15"/>
        <v>24.35079535546226</v>
      </c>
      <c r="M101" s="76">
        <f t="shared" si="16"/>
        <v>94.616843393682686</v>
      </c>
      <c r="N101" s="76">
        <f t="shared" si="2"/>
        <v>22.191011235955056</v>
      </c>
      <c r="O101" s="76">
        <f t="shared" si="17"/>
        <v>22.191011235955056</v>
      </c>
      <c r="P101" s="76">
        <f>(100*((LN((100-O101)-I101)-4.6052)/-'Fiber_Ash Inputs'!$D$17))*'Fiber_Ash Inputs'!$C$17</f>
        <v>7.3869240261072449</v>
      </c>
      <c r="Q101" s="76">
        <f t="shared" si="18"/>
        <v>58.830414718402729</v>
      </c>
      <c r="R101" s="76">
        <f>IF('Fiber_Ash Inputs'!$B$11=30,I101,IF('Fiber_Ash Inputs'!$B$11=48,I101*0.926))</f>
        <v>64.2</v>
      </c>
      <c r="S101" s="76">
        <f t="shared" si="3"/>
        <v>5.6980000000000004</v>
      </c>
      <c r="T101" s="76">
        <f t="shared" si="4"/>
        <v>1.7094</v>
      </c>
      <c r="U101" s="46">
        <f t="shared" si="5"/>
        <v>2.5</v>
      </c>
      <c r="V101" s="77">
        <f t="shared" si="6"/>
        <v>14.399999999999997</v>
      </c>
      <c r="W101" s="76">
        <f t="shared" si="19"/>
        <v>4.5856445751997779</v>
      </c>
      <c r="X101" s="76">
        <f t="shared" si="20"/>
        <v>2.8283731001045389</v>
      </c>
      <c r="Y101" s="76">
        <f t="shared" si="21"/>
        <v>1.4298208821942155</v>
      </c>
      <c r="Z101" s="76">
        <f t="shared" si="7"/>
        <v>3.4787109692996374</v>
      </c>
      <c r="AA101" s="76">
        <f t="shared" si="8"/>
        <v>1.0436132907898912</v>
      </c>
      <c r="AB101" s="76">
        <f t="shared" si="22"/>
        <v>3.5106375837640469</v>
      </c>
      <c r="AC101" s="76">
        <f t="shared" si="23"/>
        <v>2.1952587200950457</v>
      </c>
      <c r="AD101" s="76">
        <f t="shared" si="24"/>
        <v>15.518325182771083</v>
      </c>
      <c r="AE101" s="76">
        <f t="shared" si="25"/>
        <v>3.2733558347128535</v>
      </c>
      <c r="AF101" s="46">
        <f t="shared" si="26"/>
        <v>6.0000000000000005E-2</v>
      </c>
      <c r="AG101" s="76">
        <f t="shared" si="27"/>
        <v>0.42414112853447733</v>
      </c>
      <c r="AH101" s="76">
        <f t="shared" si="38"/>
        <v>0.82301469114619663</v>
      </c>
      <c r="AI101" s="50">
        <f t="shared" si="9"/>
        <v>339.84845660228433</v>
      </c>
      <c r="AJ101" s="76">
        <f t="shared" si="28"/>
        <v>0.18154012004763848</v>
      </c>
      <c r="AK101" s="76">
        <f t="shared" si="29"/>
        <v>0.28296826901575345</v>
      </c>
      <c r="AL101" s="76">
        <f t="shared" si="30"/>
        <v>2.8088474456494614</v>
      </c>
      <c r="AM101" s="76">
        <f t="shared" si="31"/>
        <v>1.8538393141286447</v>
      </c>
      <c r="AN101" s="76">
        <f t="shared" si="39"/>
        <v>33.538450980075311</v>
      </c>
      <c r="AO101" s="76">
        <f t="shared" si="32"/>
        <v>0.2972717251180757</v>
      </c>
      <c r="AP101" s="78">
        <f t="shared" si="11"/>
        <v>9.9700331806350047</v>
      </c>
      <c r="AQ101" s="78">
        <f t="shared" si="33"/>
        <v>0.36478003799043229</v>
      </c>
      <c r="AR101" s="78">
        <f t="shared" si="34"/>
        <v>13.473017811668925</v>
      </c>
      <c r="AS101" s="78">
        <f t="shared" si="35"/>
        <v>29.640639185671635</v>
      </c>
      <c r="AT101" s="78">
        <f t="shared" si="40"/>
        <v>27.331630413659056</v>
      </c>
      <c r="AU101" s="78">
        <f t="shared" si="37"/>
        <v>60.12958691004993</v>
      </c>
      <c r="AV101" s="78">
        <f t="shared" si="41"/>
        <v>8.1994891240977168</v>
      </c>
      <c r="AW101" s="79">
        <f t="shared" si="42"/>
        <v>1643.1533242812263</v>
      </c>
      <c r="AX101" s="79">
        <f t="shared" si="43"/>
        <v>16431.533242812264</v>
      </c>
      <c r="AY101" s="30"/>
      <c r="AZ101" s="1"/>
    </row>
    <row r="102" spans="1:52" x14ac:dyDescent="0.25">
      <c r="A102" s="47" t="s">
        <v>257</v>
      </c>
      <c r="B102" s="47"/>
      <c r="C102" s="48">
        <v>10</v>
      </c>
      <c r="D102" s="48">
        <v>37.1</v>
      </c>
      <c r="E102" s="48">
        <v>76.8</v>
      </c>
      <c r="F102" s="48">
        <v>3.5</v>
      </c>
      <c r="G102" s="48">
        <v>7.4</v>
      </c>
      <c r="H102" s="80">
        <f>'Fiber_Ash Inputs'!V75</f>
        <v>35.6</v>
      </c>
      <c r="I102" s="80">
        <f>'Fiber_Ash Inputs'!W75</f>
        <v>64.2</v>
      </c>
      <c r="J102" s="80">
        <f>'Fiber_Ash Inputs'!X75</f>
        <v>7.9</v>
      </c>
      <c r="K102" s="80">
        <f>'Fiber_Ash Inputs'!U75</f>
        <v>3</v>
      </c>
      <c r="L102" s="76">
        <f t="shared" si="15"/>
        <v>24.35079535546226</v>
      </c>
      <c r="M102" s="76">
        <f t="shared" si="16"/>
        <v>94.616843393682686</v>
      </c>
      <c r="N102" s="76">
        <f t="shared" ref="N102:N126" si="44">(J102/(H102/100))</f>
        <v>22.191011235955056</v>
      </c>
      <c r="O102" s="76">
        <f t="shared" si="17"/>
        <v>22.191011235955056</v>
      </c>
      <c r="P102" s="76">
        <f>(100*((LN((100-O102)-I102)-4.6052)/-'Fiber_Ash Inputs'!$D$17))*'Fiber_Ash Inputs'!$C$17</f>
        <v>7.3869240261072449</v>
      </c>
      <c r="Q102" s="76">
        <f t="shared" si="18"/>
        <v>58.830414718402729</v>
      </c>
      <c r="R102" s="76">
        <f>IF('Fiber_Ash Inputs'!$B$11=30,I102,IF('Fiber_Ash Inputs'!$B$11=48,I102*0.926))</f>
        <v>64.2</v>
      </c>
      <c r="S102" s="76">
        <f t="shared" ref="S102:S126" si="45">G102*0.77</f>
        <v>5.6980000000000004</v>
      </c>
      <c r="T102" s="76">
        <f t="shared" ref="T102:T126" si="46">(G102*0.33)*0.7</f>
        <v>1.7094</v>
      </c>
      <c r="U102" s="46">
        <f t="shared" ref="U102:U126" si="47">F102-1</f>
        <v>2.5</v>
      </c>
      <c r="V102" s="77">
        <f t="shared" ref="V102:V126" si="48">100-K102-D102-H102-U102-G102</f>
        <v>14.399999999999997</v>
      </c>
      <c r="W102" s="76">
        <f t="shared" si="19"/>
        <v>4.5856445751997779</v>
      </c>
      <c r="X102" s="76">
        <f t="shared" si="20"/>
        <v>2.8283731001045389</v>
      </c>
      <c r="Y102" s="76">
        <f t="shared" si="21"/>
        <v>1.4298208821942155</v>
      </c>
      <c r="Z102" s="76">
        <f t="shared" ref="Z102:Z126" si="49">(0.042*H102*(Q102/100))+(0.0423*D102*(M102/100))+(0.094*U102*0.73)+(0.0565*(S102+T102))+(0.04*V102*0.91)</f>
        <v>3.4787109692996374</v>
      </c>
      <c r="AA102" s="76">
        <f t="shared" ref="AA102:AA126" si="50">Z102*($AA$10/100)</f>
        <v>1.0436132907898912</v>
      </c>
      <c r="AB102" s="76">
        <f t="shared" si="22"/>
        <v>3.5106375837640469</v>
      </c>
      <c r="AC102" s="76">
        <f t="shared" si="23"/>
        <v>2.1952587200950457</v>
      </c>
      <c r="AD102" s="76">
        <f t="shared" si="24"/>
        <v>15.518325182771083</v>
      </c>
      <c r="AE102" s="76">
        <f t="shared" si="25"/>
        <v>3.2733558347128535</v>
      </c>
      <c r="AF102" s="46">
        <f t="shared" si="26"/>
        <v>6.0000000000000005E-2</v>
      </c>
      <c r="AG102" s="76">
        <f t="shared" si="27"/>
        <v>0.42414112853447733</v>
      </c>
      <c r="AH102" s="76">
        <f t="shared" si="38"/>
        <v>0.82301469114619663</v>
      </c>
      <c r="AI102" s="50">
        <f t="shared" ref="AI102:AI126" si="51">(((W102*AH102)-$AI$10)*1000)/6.25</f>
        <v>339.84845660228433</v>
      </c>
      <c r="AJ102" s="76">
        <f t="shared" si="28"/>
        <v>0.18154012004763848</v>
      </c>
      <c r="AK102" s="76">
        <f t="shared" si="29"/>
        <v>0.28296826901575345</v>
      </c>
      <c r="AL102" s="76">
        <f t="shared" si="30"/>
        <v>2.8088474456494614</v>
      </c>
      <c r="AM102" s="76">
        <f t="shared" si="31"/>
        <v>1.8538393141286447</v>
      </c>
      <c r="AN102" s="76">
        <f t="shared" ref="AN102:AN126" si="52">((AM102*AT102)-$AN$11-$AN$14)</f>
        <v>33.538450980075311</v>
      </c>
      <c r="AO102" s="76">
        <f t="shared" si="32"/>
        <v>0.2972717251180757</v>
      </c>
      <c r="AP102" s="78">
        <f t="shared" ref="AP102:AP126" si="53">AN102*AO102</f>
        <v>9.9700331806350047</v>
      </c>
      <c r="AQ102" s="78">
        <f t="shared" si="33"/>
        <v>0.36478003799043229</v>
      </c>
      <c r="AR102" s="78">
        <f t="shared" si="34"/>
        <v>13.473017811668925</v>
      </c>
      <c r="AS102" s="78">
        <f t="shared" si="35"/>
        <v>29.640639185671635</v>
      </c>
      <c r="AT102" s="78">
        <f t="shared" ref="AT102:AT126" si="54">12-0.107*($F$22*0.7+H102*0.3)+8.17*($AU$10/($F$22*0.7+H102*0.3))+0.0253*($G$22*0.7+R102*0.3)-0.328*(($AU$10/($F$22*0.7+H102*0.3))-0.602)*(($G$22*0.7+R102*0.3)-48.3)+0.225*$AU$13+0.0039*(($G$22*0.7+R102*0.3)-48.3)*($AU$13-33.1)</f>
        <v>27.331630413659056</v>
      </c>
      <c r="AU102" s="78">
        <f t="shared" si="37"/>
        <v>60.12958691004993</v>
      </c>
      <c r="AV102" s="78">
        <f t="shared" si="41"/>
        <v>8.1994891240977168</v>
      </c>
      <c r="AW102" s="79">
        <f t="shared" ref="AW102:AW126" si="55">(AR102/AV102)*1000</f>
        <v>1643.1533242812263</v>
      </c>
      <c r="AX102" s="79">
        <f t="shared" ref="AX102:AX126" si="56">C102*AW102</f>
        <v>16431.533242812264</v>
      </c>
      <c r="AY102" s="30"/>
      <c r="AZ102" s="1"/>
    </row>
    <row r="103" spans="1:52" x14ac:dyDescent="0.25">
      <c r="A103" s="47" t="s">
        <v>258</v>
      </c>
      <c r="B103" s="47"/>
      <c r="C103" s="48">
        <v>10</v>
      </c>
      <c r="D103" s="48">
        <v>37.1</v>
      </c>
      <c r="E103" s="48">
        <v>76.8</v>
      </c>
      <c r="F103" s="48">
        <v>3.5</v>
      </c>
      <c r="G103" s="48">
        <v>7.4</v>
      </c>
      <c r="H103" s="80">
        <f>'Fiber_Ash Inputs'!V76</f>
        <v>35.6</v>
      </c>
      <c r="I103" s="80">
        <f>'Fiber_Ash Inputs'!W76</f>
        <v>64.2</v>
      </c>
      <c r="J103" s="80">
        <f>'Fiber_Ash Inputs'!X76</f>
        <v>7.9</v>
      </c>
      <c r="K103" s="80">
        <f>'Fiber_Ash Inputs'!U76</f>
        <v>3</v>
      </c>
      <c r="L103" s="76">
        <f t="shared" ref="L103:L126" si="57">100*((LN(100-E103)-4.6052)/-6)</f>
        <v>24.35079535546226</v>
      </c>
      <c r="M103" s="76">
        <f t="shared" ref="M103:M126" si="58">82.224+(0.185*(100*(L103/(L103+12))))</f>
        <v>94.616843393682686</v>
      </c>
      <c r="N103" s="76">
        <f t="shared" si="44"/>
        <v>22.191011235955056</v>
      </c>
      <c r="O103" s="76">
        <f t="shared" ref="O103:O126" si="59">IF(I103+N103&lt;100,N103,IF(I103+N103=100,99.9-I103,IF(I103+N103&gt;100,99.9-I103)))</f>
        <v>22.191011235955056</v>
      </c>
      <c r="P103" s="76">
        <f>(100*((LN((100-O103)-I103)-4.6052)/-'Fiber_Ash Inputs'!$D$17))*'Fiber_Ash Inputs'!$C$17</f>
        <v>7.3869240261072449</v>
      </c>
      <c r="Q103" s="76">
        <f t="shared" ref="Q103:Q126" si="60">(100-O103)*(1.1*(P103/(P103+3.36)))</f>
        <v>58.830414718402729</v>
      </c>
      <c r="R103" s="76">
        <f>IF('Fiber_Ash Inputs'!$B$11=30,I103,IF('Fiber_Ash Inputs'!$B$11=48,I103*0.926))</f>
        <v>64.2</v>
      </c>
      <c r="S103" s="76">
        <f t="shared" si="45"/>
        <v>5.6980000000000004</v>
      </c>
      <c r="T103" s="76">
        <f t="shared" si="46"/>
        <v>1.7094</v>
      </c>
      <c r="U103" s="46">
        <f t="shared" si="47"/>
        <v>2.5</v>
      </c>
      <c r="V103" s="77">
        <f t="shared" si="48"/>
        <v>14.399999999999997</v>
      </c>
      <c r="W103" s="76">
        <f t="shared" ref="W103:W126" si="61">((G103*0.3+$J$22*0.7)/100)*AT103</f>
        <v>4.5856445751997779</v>
      </c>
      <c r="X103" s="76">
        <f t="shared" ref="X103:X126" si="62">((S103*0.3+$L$22*0.7)/100)*AT103</f>
        <v>2.8283731001045389</v>
      </c>
      <c r="Y103" s="76">
        <f t="shared" ref="Y103:Y126" si="63">((T103*0.3+$M$22*0.7)/100)*AT103</f>
        <v>1.4298208821942155</v>
      </c>
      <c r="Z103" s="76">
        <f t="shared" si="49"/>
        <v>3.4787109692996374</v>
      </c>
      <c r="AA103" s="76">
        <f t="shared" si="50"/>
        <v>1.0436132907898912</v>
      </c>
      <c r="AB103" s="76">
        <f t="shared" ref="AB103:AB126" si="64">AA103+$U$32</f>
        <v>3.5106375837640469</v>
      </c>
      <c r="AC103" s="76">
        <f t="shared" ref="AC103:AC126" si="65">($AC$10*0.2)/(AT103)</f>
        <v>2.1952587200950457</v>
      </c>
      <c r="AD103" s="76">
        <f t="shared" ref="AD103:AD126" si="66">11.62+0.134*(H103*0.3+$F$22*0.7)</f>
        <v>15.518325182771083</v>
      </c>
      <c r="AE103" s="76">
        <f t="shared" ref="AE103:AE126" si="67">AB103-0.00565*AD103-0.00565*AC103-0.004*34.3</f>
        <v>3.2733558347128535</v>
      </c>
      <c r="AF103" s="46">
        <f t="shared" ref="AF103:AF126" si="68">(AC103*AT103)/1000</f>
        <v>6.0000000000000005E-2</v>
      </c>
      <c r="AG103" s="76">
        <f t="shared" ref="AG103:AG126" si="69">(AD103*AT103)/1000</f>
        <v>0.42414112853447733</v>
      </c>
      <c r="AH103" s="76">
        <f t="shared" ref="AH103:AH126" si="70">((X103+Y103)-(AG103+AF103))/W103</f>
        <v>0.82301469114619663</v>
      </c>
      <c r="AI103" s="50">
        <f t="shared" si="51"/>
        <v>339.84845660228433</v>
      </c>
      <c r="AJ103" s="76">
        <f t="shared" ref="AJ103:AJ126" si="71">(0.0146*AI103)/AT103</f>
        <v>0.18154012004763848</v>
      </c>
      <c r="AK103" s="76">
        <f t="shared" ref="AK103:AK126" si="72">(0.294*AT103-0.347*(U103*0.3+$U$17*0.7)+0.0409*(H103*0.3+$F$22*0.7))/AT103</f>
        <v>0.28296826901575345</v>
      </c>
      <c r="AL103" s="76">
        <f t="shared" ref="AL103:AL126" si="73">AE103-AK103-AJ103</f>
        <v>2.8088474456494614</v>
      </c>
      <c r="AM103" s="76">
        <f t="shared" ref="AM103:AM126" si="74">0.66*AL103</f>
        <v>1.8538393141286447</v>
      </c>
      <c r="AN103" s="76">
        <f t="shared" si="52"/>
        <v>33.538450980075311</v>
      </c>
      <c r="AO103" s="76">
        <f t="shared" ref="AO103:AO126" si="75">AA103/AB103</f>
        <v>0.2972717251180757</v>
      </c>
      <c r="AP103" s="78">
        <f t="shared" si="53"/>
        <v>9.9700331806350047</v>
      </c>
      <c r="AQ103" s="78">
        <f t="shared" ref="AQ103:AQ126" si="76">((AN103/AT103*AO103))</f>
        <v>0.36478003799043229</v>
      </c>
      <c r="AR103" s="78">
        <f t="shared" ref="AR103:AR126" si="77">(AP103)/$AR$20</f>
        <v>13.473017811668925</v>
      </c>
      <c r="AS103" s="78">
        <f t="shared" ref="AS103:AS126" si="78">AR103*2.2</f>
        <v>29.640639185671635</v>
      </c>
      <c r="AT103" s="78">
        <f t="shared" si="54"/>
        <v>27.331630413659056</v>
      </c>
      <c r="AU103" s="78">
        <f t="shared" ref="AU103:AU126" si="79">AT103*2.2</f>
        <v>60.12958691004993</v>
      </c>
      <c r="AV103" s="78">
        <f t="shared" ref="AV103:AV126" si="80">AT103*0.3</f>
        <v>8.1994891240977168</v>
      </c>
      <c r="AW103" s="79">
        <f t="shared" si="55"/>
        <v>1643.1533242812263</v>
      </c>
      <c r="AX103" s="79">
        <f t="shared" si="56"/>
        <v>16431.533242812264</v>
      </c>
      <c r="AY103" s="30"/>
      <c r="AZ103" s="1"/>
    </row>
    <row r="104" spans="1:52" x14ac:dyDescent="0.25">
      <c r="A104" s="47" t="s">
        <v>259</v>
      </c>
      <c r="B104" s="47"/>
      <c r="C104" s="48">
        <v>10</v>
      </c>
      <c r="D104" s="48">
        <v>37.1</v>
      </c>
      <c r="E104" s="48">
        <v>76.8</v>
      </c>
      <c r="F104" s="48">
        <v>3.5</v>
      </c>
      <c r="G104" s="48">
        <v>7.4</v>
      </c>
      <c r="H104" s="80">
        <f>'Fiber_Ash Inputs'!V77</f>
        <v>35.6</v>
      </c>
      <c r="I104" s="80">
        <f>'Fiber_Ash Inputs'!W77</f>
        <v>64.2</v>
      </c>
      <c r="J104" s="80">
        <f>'Fiber_Ash Inputs'!X77</f>
        <v>7.9</v>
      </c>
      <c r="K104" s="80">
        <f>'Fiber_Ash Inputs'!U77</f>
        <v>3</v>
      </c>
      <c r="L104" s="76">
        <f t="shared" si="57"/>
        <v>24.35079535546226</v>
      </c>
      <c r="M104" s="76">
        <f t="shared" si="58"/>
        <v>94.616843393682686</v>
      </c>
      <c r="N104" s="76">
        <f t="shared" si="44"/>
        <v>22.191011235955056</v>
      </c>
      <c r="O104" s="76">
        <f t="shared" si="59"/>
        <v>22.191011235955056</v>
      </c>
      <c r="P104" s="76">
        <f>(100*((LN((100-O104)-I104)-4.6052)/-'Fiber_Ash Inputs'!$D$17))*'Fiber_Ash Inputs'!$C$17</f>
        <v>7.3869240261072449</v>
      </c>
      <c r="Q104" s="76">
        <f t="shared" si="60"/>
        <v>58.830414718402729</v>
      </c>
      <c r="R104" s="76">
        <f>IF('Fiber_Ash Inputs'!$B$11=30,I104,IF('Fiber_Ash Inputs'!$B$11=48,I104*0.926))</f>
        <v>64.2</v>
      </c>
      <c r="S104" s="76">
        <f t="shared" si="45"/>
        <v>5.6980000000000004</v>
      </c>
      <c r="T104" s="76">
        <f t="shared" si="46"/>
        <v>1.7094</v>
      </c>
      <c r="U104" s="46">
        <f t="shared" si="47"/>
        <v>2.5</v>
      </c>
      <c r="V104" s="77">
        <f t="shared" si="48"/>
        <v>14.399999999999997</v>
      </c>
      <c r="W104" s="76">
        <f t="shared" si="61"/>
        <v>4.5856445751997779</v>
      </c>
      <c r="X104" s="76">
        <f t="shared" si="62"/>
        <v>2.8283731001045389</v>
      </c>
      <c r="Y104" s="76">
        <f t="shared" si="63"/>
        <v>1.4298208821942155</v>
      </c>
      <c r="Z104" s="76">
        <f t="shared" si="49"/>
        <v>3.4787109692996374</v>
      </c>
      <c r="AA104" s="76">
        <f t="shared" si="50"/>
        <v>1.0436132907898912</v>
      </c>
      <c r="AB104" s="76">
        <f t="shared" si="64"/>
        <v>3.5106375837640469</v>
      </c>
      <c r="AC104" s="76">
        <f t="shared" si="65"/>
        <v>2.1952587200950457</v>
      </c>
      <c r="AD104" s="76">
        <f t="shared" si="66"/>
        <v>15.518325182771083</v>
      </c>
      <c r="AE104" s="76">
        <f t="shared" si="67"/>
        <v>3.2733558347128535</v>
      </c>
      <c r="AF104" s="46">
        <f t="shared" si="68"/>
        <v>6.0000000000000005E-2</v>
      </c>
      <c r="AG104" s="76">
        <f t="shared" si="69"/>
        <v>0.42414112853447733</v>
      </c>
      <c r="AH104" s="76">
        <f t="shared" si="70"/>
        <v>0.82301469114619663</v>
      </c>
      <c r="AI104" s="50">
        <f t="shared" si="51"/>
        <v>339.84845660228433</v>
      </c>
      <c r="AJ104" s="76">
        <f t="shared" si="71"/>
        <v>0.18154012004763848</v>
      </c>
      <c r="AK104" s="76">
        <f t="shared" si="72"/>
        <v>0.28296826901575345</v>
      </c>
      <c r="AL104" s="76">
        <f t="shared" si="73"/>
        <v>2.8088474456494614</v>
      </c>
      <c r="AM104" s="76">
        <f t="shared" si="74"/>
        <v>1.8538393141286447</v>
      </c>
      <c r="AN104" s="76">
        <f t="shared" si="52"/>
        <v>33.538450980075311</v>
      </c>
      <c r="AO104" s="76">
        <f t="shared" si="75"/>
        <v>0.2972717251180757</v>
      </c>
      <c r="AP104" s="78">
        <f t="shared" si="53"/>
        <v>9.9700331806350047</v>
      </c>
      <c r="AQ104" s="78">
        <f t="shared" si="76"/>
        <v>0.36478003799043229</v>
      </c>
      <c r="AR104" s="78">
        <f t="shared" si="77"/>
        <v>13.473017811668925</v>
      </c>
      <c r="AS104" s="78">
        <f t="shared" si="78"/>
        <v>29.640639185671635</v>
      </c>
      <c r="AT104" s="78">
        <f t="shared" si="54"/>
        <v>27.331630413659056</v>
      </c>
      <c r="AU104" s="78">
        <f t="shared" si="79"/>
        <v>60.12958691004993</v>
      </c>
      <c r="AV104" s="78">
        <f t="shared" si="80"/>
        <v>8.1994891240977168</v>
      </c>
      <c r="AW104" s="79">
        <f t="shared" si="55"/>
        <v>1643.1533242812263</v>
      </c>
      <c r="AX104" s="79">
        <f t="shared" si="56"/>
        <v>16431.533242812264</v>
      </c>
      <c r="AY104" s="30"/>
      <c r="AZ104" s="1"/>
    </row>
    <row r="105" spans="1:52" x14ac:dyDescent="0.25">
      <c r="A105" s="47" t="s">
        <v>260</v>
      </c>
      <c r="B105" s="47"/>
      <c r="C105" s="48">
        <v>10</v>
      </c>
      <c r="D105" s="48">
        <v>37.1</v>
      </c>
      <c r="E105" s="48">
        <v>76.8</v>
      </c>
      <c r="F105" s="48">
        <v>3.5</v>
      </c>
      <c r="G105" s="48">
        <v>7.4</v>
      </c>
      <c r="H105" s="80">
        <f>'Fiber_Ash Inputs'!V78</f>
        <v>35.6</v>
      </c>
      <c r="I105" s="80">
        <f>'Fiber_Ash Inputs'!W78</f>
        <v>64.2</v>
      </c>
      <c r="J105" s="80">
        <f>'Fiber_Ash Inputs'!X78</f>
        <v>7.9</v>
      </c>
      <c r="K105" s="80">
        <f>'Fiber_Ash Inputs'!U78</f>
        <v>3</v>
      </c>
      <c r="L105" s="76">
        <f t="shared" si="57"/>
        <v>24.35079535546226</v>
      </c>
      <c r="M105" s="76">
        <f t="shared" si="58"/>
        <v>94.616843393682686</v>
      </c>
      <c r="N105" s="76">
        <f t="shared" si="44"/>
        <v>22.191011235955056</v>
      </c>
      <c r="O105" s="76">
        <f t="shared" si="59"/>
        <v>22.191011235955056</v>
      </c>
      <c r="P105" s="76">
        <f>(100*((LN((100-O105)-I105)-4.6052)/-'Fiber_Ash Inputs'!$D$17))*'Fiber_Ash Inputs'!$C$17</f>
        <v>7.3869240261072449</v>
      </c>
      <c r="Q105" s="76">
        <f t="shared" si="60"/>
        <v>58.830414718402729</v>
      </c>
      <c r="R105" s="76">
        <f>IF('Fiber_Ash Inputs'!$B$11=30,I105,IF('Fiber_Ash Inputs'!$B$11=48,I105*0.926))</f>
        <v>64.2</v>
      </c>
      <c r="S105" s="76">
        <f t="shared" si="45"/>
        <v>5.6980000000000004</v>
      </c>
      <c r="T105" s="76">
        <f t="shared" si="46"/>
        <v>1.7094</v>
      </c>
      <c r="U105" s="46">
        <f t="shared" si="47"/>
        <v>2.5</v>
      </c>
      <c r="V105" s="77">
        <f t="shared" si="48"/>
        <v>14.399999999999997</v>
      </c>
      <c r="W105" s="76">
        <f t="shared" si="61"/>
        <v>4.5856445751997779</v>
      </c>
      <c r="X105" s="76">
        <f t="shared" si="62"/>
        <v>2.8283731001045389</v>
      </c>
      <c r="Y105" s="76">
        <f t="shared" si="63"/>
        <v>1.4298208821942155</v>
      </c>
      <c r="Z105" s="76">
        <f t="shared" si="49"/>
        <v>3.4787109692996374</v>
      </c>
      <c r="AA105" s="76">
        <f t="shared" si="50"/>
        <v>1.0436132907898912</v>
      </c>
      <c r="AB105" s="76">
        <f t="shared" si="64"/>
        <v>3.5106375837640469</v>
      </c>
      <c r="AC105" s="76">
        <f t="shared" si="65"/>
        <v>2.1952587200950457</v>
      </c>
      <c r="AD105" s="76">
        <f t="shared" si="66"/>
        <v>15.518325182771083</v>
      </c>
      <c r="AE105" s="76">
        <f t="shared" si="67"/>
        <v>3.2733558347128535</v>
      </c>
      <c r="AF105" s="46">
        <f t="shared" si="68"/>
        <v>6.0000000000000005E-2</v>
      </c>
      <c r="AG105" s="76">
        <f t="shared" si="69"/>
        <v>0.42414112853447733</v>
      </c>
      <c r="AH105" s="76">
        <f t="shared" si="70"/>
        <v>0.82301469114619663</v>
      </c>
      <c r="AI105" s="50">
        <f t="shared" si="51"/>
        <v>339.84845660228433</v>
      </c>
      <c r="AJ105" s="76">
        <f t="shared" si="71"/>
        <v>0.18154012004763848</v>
      </c>
      <c r="AK105" s="76">
        <f t="shared" si="72"/>
        <v>0.28296826901575345</v>
      </c>
      <c r="AL105" s="76">
        <f t="shared" si="73"/>
        <v>2.8088474456494614</v>
      </c>
      <c r="AM105" s="76">
        <f t="shared" si="74"/>
        <v>1.8538393141286447</v>
      </c>
      <c r="AN105" s="76">
        <f t="shared" si="52"/>
        <v>33.538450980075311</v>
      </c>
      <c r="AO105" s="76">
        <f t="shared" si="75"/>
        <v>0.2972717251180757</v>
      </c>
      <c r="AP105" s="78">
        <f t="shared" si="53"/>
        <v>9.9700331806350047</v>
      </c>
      <c r="AQ105" s="78">
        <f t="shared" si="76"/>
        <v>0.36478003799043229</v>
      </c>
      <c r="AR105" s="78">
        <f t="shared" si="77"/>
        <v>13.473017811668925</v>
      </c>
      <c r="AS105" s="78">
        <f t="shared" si="78"/>
        <v>29.640639185671635</v>
      </c>
      <c r="AT105" s="78">
        <f t="shared" si="54"/>
        <v>27.331630413659056</v>
      </c>
      <c r="AU105" s="78">
        <f t="shared" si="79"/>
        <v>60.12958691004993</v>
      </c>
      <c r="AV105" s="78">
        <f t="shared" si="80"/>
        <v>8.1994891240977168</v>
      </c>
      <c r="AW105" s="79">
        <f t="shared" si="55"/>
        <v>1643.1533242812263</v>
      </c>
      <c r="AX105" s="79">
        <f t="shared" si="56"/>
        <v>16431.533242812264</v>
      </c>
      <c r="AY105" s="30"/>
      <c r="AZ105" s="1"/>
    </row>
    <row r="106" spans="1:52" x14ac:dyDescent="0.25">
      <c r="A106" s="47" t="s">
        <v>261</v>
      </c>
      <c r="B106" s="47"/>
      <c r="C106" s="48">
        <v>10</v>
      </c>
      <c r="D106" s="48">
        <v>37.1</v>
      </c>
      <c r="E106" s="48">
        <v>76.8</v>
      </c>
      <c r="F106" s="48">
        <v>3.5</v>
      </c>
      <c r="G106" s="48">
        <v>7.4</v>
      </c>
      <c r="H106" s="80">
        <f>'Fiber_Ash Inputs'!V79</f>
        <v>35.6</v>
      </c>
      <c r="I106" s="80">
        <f>'Fiber_Ash Inputs'!W79</f>
        <v>64.2</v>
      </c>
      <c r="J106" s="80">
        <f>'Fiber_Ash Inputs'!X79</f>
        <v>7.9</v>
      </c>
      <c r="K106" s="80">
        <f>'Fiber_Ash Inputs'!U79</f>
        <v>3</v>
      </c>
      <c r="L106" s="76">
        <f t="shared" si="57"/>
        <v>24.35079535546226</v>
      </c>
      <c r="M106" s="76">
        <f t="shared" si="58"/>
        <v>94.616843393682686</v>
      </c>
      <c r="N106" s="76">
        <f t="shared" si="44"/>
        <v>22.191011235955056</v>
      </c>
      <c r="O106" s="76">
        <f t="shared" si="59"/>
        <v>22.191011235955056</v>
      </c>
      <c r="P106" s="76">
        <f>(100*((LN((100-O106)-I106)-4.6052)/-'Fiber_Ash Inputs'!$D$17))*'Fiber_Ash Inputs'!$C$17</f>
        <v>7.3869240261072449</v>
      </c>
      <c r="Q106" s="76">
        <f t="shared" si="60"/>
        <v>58.830414718402729</v>
      </c>
      <c r="R106" s="76">
        <f>IF('Fiber_Ash Inputs'!$B$11=30,I106,IF('Fiber_Ash Inputs'!$B$11=48,I106*0.926))</f>
        <v>64.2</v>
      </c>
      <c r="S106" s="76">
        <f t="shared" si="45"/>
        <v>5.6980000000000004</v>
      </c>
      <c r="T106" s="76">
        <f t="shared" si="46"/>
        <v>1.7094</v>
      </c>
      <c r="U106" s="46">
        <f t="shared" si="47"/>
        <v>2.5</v>
      </c>
      <c r="V106" s="77">
        <f t="shared" si="48"/>
        <v>14.399999999999997</v>
      </c>
      <c r="W106" s="76">
        <f t="shared" si="61"/>
        <v>4.5856445751997779</v>
      </c>
      <c r="X106" s="76">
        <f t="shared" si="62"/>
        <v>2.8283731001045389</v>
      </c>
      <c r="Y106" s="76">
        <f t="shared" si="63"/>
        <v>1.4298208821942155</v>
      </c>
      <c r="Z106" s="76">
        <f t="shared" si="49"/>
        <v>3.4787109692996374</v>
      </c>
      <c r="AA106" s="76">
        <f t="shared" si="50"/>
        <v>1.0436132907898912</v>
      </c>
      <c r="AB106" s="76">
        <f t="shared" si="64"/>
        <v>3.5106375837640469</v>
      </c>
      <c r="AC106" s="76">
        <f t="shared" si="65"/>
        <v>2.1952587200950457</v>
      </c>
      <c r="AD106" s="76">
        <f t="shared" si="66"/>
        <v>15.518325182771083</v>
      </c>
      <c r="AE106" s="76">
        <f t="shared" si="67"/>
        <v>3.2733558347128535</v>
      </c>
      <c r="AF106" s="46">
        <f t="shared" si="68"/>
        <v>6.0000000000000005E-2</v>
      </c>
      <c r="AG106" s="76">
        <f t="shared" si="69"/>
        <v>0.42414112853447733</v>
      </c>
      <c r="AH106" s="76">
        <f t="shared" si="70"/>
        <v>0.82301469114619663</v>
      </c>
      <c r="AI106" s="50">
        <f t="shared" si="51"/>
        <v>339.84845660228433</v>
      </c>
      <c r="AJ106" s="76">
        <f t="shared" si="71"/>
        <v>0.18154012004763848</v>
      </c>
      <c r="AK106" s="76">
        <f t="shared" si="72"/>
        <v>0.28296826901575345</v>
      </c>
      <c r="AL106" s="76">
        <f t="shared" si="73"/>
        <v>2.8088474456494614</v>
      </c>
      <c r="AM106" s="76">
        <f t="shared" si="74"/>
        <v>1.8538393141286447</v>
      </c>
      <c r="AN106" s="76">
        <f t="shared" si="52"/>
        <v>33.538450980075311</v>
      </c>
      <c r="AO106" s="76">
        <f t="shared" si="75"/>
        <v>0.2972717251180757</v>
      </c>
      <c r="AP106" s="78">
        <f t="shared" si="53"/>
        <v>9.9700331806350047</v>
      </c>
      <c r="AQ106" s="78">
        <f t="shared" si="76"/>
        <v>0.36478003799043229</v>
      </c>
      <c r="AR106" s="78">
        <f t="shared" si="77"/>
        <v>13.473017811668925</v>
      </c>
      <c r="AS106" s="78">
        <f t="shared" si="78"/>
        <v>29.640639185671635</v>
      </c>
      <c r="AT106" s="78">
        <f t="shared" si="54"/>
        <v>27.331630413659056</v>
      </c>
      <c r="AU106" s="78">
        <f t="shared" si="79"/>
        <v>60.12958691004993</v>
      </c>
      <c r="AV106" s="78">
        <f t="shared" si="80"/>
        <v>8.1994891240977168</v>
      </c>
      <c r="AW106" s="79">
        <f t="shared" si="55"/>
        <v>1643.1533242812263</v>
      </c>
      <c r="AX106" s="79">
        <f t="shared" si="56"/>
        <v>16431.533242812264</v>
      </c>
      <c r="AY106" s="30"/>
      <c r="AZ106" s="1"/>
    </row>
    <row r="107" spans="1:52" x14ac:dyDescent="0.25">
      <c r="A107" s="47" t="s">
        <v>262</v>
      </c>
      <c r="B107" s="47"/>
      <c r="C107" s="48">
        <v>10</v>
      </c>
      <c r="D107" s="48">
        <v>37.1</v>
      </c>
      <c r="E107" s="48">
        <v>76.8</v>
      </c>
      <c r="F107" s="48">
        <v>3.5</v>
      </c>
      <c r="G107" s="48">
        <v>7.4</v>
      </c>
      <c r="H107" s="80">
        <f>'Fiber_Ash Inputs'!V80</f>
        <v>35.6</v>
      </c>
      <c r="I107" s="80">
        <f>'Fiber_Ash Inputs'!W80</f>
        <v>64.2</v>
      </c>
      <c r="J107" s="80">
        <f>'Fiber_Ash Inputs'!X80</f>
        <v>7.9</v>
      </c>
      <c r="K107" s="80">
        <f>'Fiber_Ash Inputs'!U80</f>
        <v>3</v>
      </c>
      <c r="L107" s="76">
        <f t="shared" si="57"/>
        <v>24.35079535546226</v>
      </c>
      <c r="M107" s="76">
        <f t="shared" si="58"/>
        <v>94.616843393682686</v>
      </c>
      <c r="N107" s="76">
        <f t="shared" si="44"/>
        <v>22.191011235955056</v>
      </c>
      <c r="O107" s="76">
        <f t="shared" si="59"/>
        <v>22.191011235955056</v>
      </c>
      <c r="P107" s="76">
        <f>(100*((LN((100-O107)-I107)-4.6052)/-'Fiber_Ash Inputs'!$D$17))*'Fiber_Ash Inputs'!$C$17</f>
        <v>7.3869240261072449</v>
      </c>
      <c r="Q107" s="76">
        <f t="shared" si="60"/>
        <v>58.830414718402729</v>
      </c>
      <c r="R107" s="76">
        <f>IF('Fiber_Ash Inputs'!$B$11=30,I107,IF('Fiber_Ash Inputs'!$B$11=48,I107*0.926))</f>
        <v>64.2</v>
      </c>
      <c r="S107" s="76">
        <f t="shared" si="45"/>
        <v>5.6980000000000004</v>
      </c>
      <c r="T107" s="76">
        <f t="shared" si="46"/>
        <v>1.7094</v>
      </c>
      <c r="U107" s="46">
        <f t="shared" si="47"/>
        <v>2.5</v>
      </c>
      <c r="V107" s="77">
        <f t="shared" si="48"/>
        <v>14.399999999999997</v>
      </c>
      <c r="W107" s="76">
        <f t="shared" si="61"/>
        <v>4.5856445751997779</v>
      </c>
      <c r="X107" s="76">
        <f t="shared" si="62"/>
        <v>2.8283731001045389</v>
      </c>
      <c r="Y107" s="76">
        <f t="shared" si="63"/>
        <v>1.4298208821942155</v>
      </c>
      <c r="Z107" s="76">
        <f t="shared" si="49"/>
        <v>3.4787109692996374</v>
      </c>
      <c r="AA107" s="76">
        <f t="shared" si="50"/>
        <v>1.0436132907898912</v>
      </c>
      <c r="AB107" s="76">
        <f t="shared" si="64"/>
        <v>3.5106375837640469</v>
      </c>
      <c r="AC107" s="76">
        <f t="shared" si="65"/>
        <v>2.1952587200950457</v>
      </c>
      <c r="AD107" s="76">
        <f t="shared" si="66"/>
        <v>15.518325182771083</v>
      </c>
      <c r="AE107" s="76">
        <f t="shared" si="67"/>
        <v>3.2733558347128535</v>
      </c>
      <c r="AF107" s="46">
        <f t="shared" si="68"/>
        <v>6.0000000000000005E-2</v>
      </c>
      <c r="AG107" s="76">
        <f t="shared" si="69"/>
        <v>0.42414112853447733</v>
      </c>
      <c r="AH107" s="76">
        <f t="shared" si="70"/>
        <v>0.82301469114619663</v>
      </c>
      <c r="AI107" s="50">
        <f t="shared" si="51"/>
        <v>339.84845660228433</v>
      </c>
      <c r="AJ107" s="76">
        <f t="shared" si="71"/>
        <v>0.18154012004763848</v>
      </c>
      <c r="AK107" s="76">
        <f t="shared" si="72"/>
        <v>0.28296826901575345</v>
      </c>
      <c r="AL107" s="76">
        <f t="shared" si="73"/>
        <v>2.8088474456494614</v>
      </c>
      <c r="AM107" s="76">
        <f t="shared" si="74"/>
        <v>1.8538393141286447</v>
      </c>
      <c r="AN107" s="76">
        <f t="shared" si="52"/>
        <v>33.538450980075311</v>
      </c>
      <c r="AO107" s="76">
        <f t="shared" si="75"/>
        <v>0.2972717251180757</v>
      </c>
      <c r="AP107" s="78">
        <f t="shared" si="53"/>
        <v>9.9700331806350047</v>
      </c>
      <c r="AQ107" s="78">
        <f t="shared" si="76"/>
        <v>0.36478003799043229</v>
      </c>
      <c r="AR107" s="78">
        <f t="shared" si="77"/>
        <v>13.473017811668925</v>
      </c>
      <c r="AS107" s="78">
        <f t="shared" si="78"/>
        <v>29.640639185671635</v>
      </c>
      <c r="AT107" s="78">
        <f t="shared" si="54"/>
        <v>27.331630413659056</v>
      </c>
      <c r="AU107" s="78">
        <f t="shared" si="79"/>
        <v>60.12958691004993</v>
      </c>
      <c r="AV107" s="78">
        <f t="shared" si="80"/>
        <v>8.1994891240977168</v>
      </c>
      <c r="AW107" s="79">
        <f t="shared" si="55"/>
        <v>1643.1533242812263</v>
      </c>
      <c r="AX107" s="79">
        <f t="shared" si="56"/>
        <v>16431.533242812264</v>
      </c>
      <c r="AY107" s="30"/>
      <c r="AZ107" s="1"/>
    </row>
    <row r="108" spans="1:52" x14ac:dyDescent="0.25">
      <c r="A108" s="47" t="s">
        <v>263</v>
      </c>
      <c r="B108" s="47"/>
      <c r="C108" s="48">
        <v>10</v>
      </c>
      <c r="D108" s="48">
        <v>37.1</v>
      </c>
      <c r="E108" s="48">
        <v>76.8</v>
      </c>
      <c r="F108" s="48">
        <v>3.5</v>
      </c>
      <c r="G108" s="48">
        <v>7.4</v>
      </c>
      <c r="H108" s="80">
        <f>'Fiber_Ash Inputs'!V81</f>
        <v>35.6</v>
      </c>
      <c r="I108" s="80">
        <f>'Fiber_Ash Inputs'!W81</f>
        <v>64.2</v>
      </c>
      <c r="J108" s="80">
        <f>'Fiber_Ash Inputs'!X81</f>
        <v>7.9</v>
      </c>
      <c r="K108" s="80">
        <f>'Fiber_Ash Inputs'!U81</f>
        <v>3</v>
      </c>
      <c r="L108" s="76">
        <f t="shared" si="57"/>
        <v>24.35079535546226</v>
      </c>
      <c r="M108" s="76">
        <f t="shared" si="58"/>
        <v>94.616843393682686</v>
      </c>
      <c r="N108" s="76">
        <f t="shared" si="44"/>
        <v>22.191011235955056</v>
      </c>
      <c r="O108" s="76">
        <f t="shared" si="59"/>
        <v>22.191011235955056</v>
      </c>
      <c r="P108" s="76">
        <f>(100*((LN((100-O108)-I108)-4.6052)/-'Fiber_Ash Inputs'!$D$17))*'Fiber_Ash Inputs'!$C$17</f>
        <v>7.3869240261072449</v>
      </c>
      <c r="Q108" s="76">
        <f t="shared" si="60"/>
        <v>58.830414718402729</v>
      </c>
      <c r="R108" s="76">
        <f>IF('Fiber_Ash Inputs'!$B$11=30,I108,IF('Fiber_Ash Inputs'!$B$11=48,I108*0.926))</f>
        <v>64.2</v>
      </c>
      <c r="S108" s="76">
        <f t="shared" si="45"/>
        <v>5.6980000000000004</v>
      </c>
      <c r="T108" s="76">
        <f t="shared" si="46"/>
        <v>1.7094</v>
      </c>
      <c r="U108" s="46">
        <f t="shared" si="47"/>
        <v>2.5</v>
      </c>
      <c r="V108" s="77">
        <f t="shared" si="48"/>
        <v>14.399999999999997</v>
      </c>
      <c r="W108" s="76">
        <f t="shared" si="61"/>
        <v>4.5856445751997779</v>
      </c>
      <c r="X108" s="76">
        <f t="shared" si="62"/>
        <v>2.8283731001045389</v>
      </c>
      <c r="Y108" s="76">
        <f t="shared" si="63"/>
        <v>1.4298208821942155</v>
      </c>
      <c r="Z108" s="76">
        <f t="shared" si="49"/>
        <v>3.4787109692996374</v>
      </c>
      <c r="AA108" s="76">
        <f t="shared" si="50"/>
        <v>1.0436132907898912</v>
      </c>
      <c r="AB108" s="76">
        <f t="shared" si="64"/>
        <v>3.5106375837640469</v>
      </c>
      <c r="AC108" s="76">
        <f t="shared" si="65"/>
        <v>2.1952587200950457</v>
      </c>
      <c r="AD108" s="76">
        <f t="shared" si="66"/>
        <v>15.518325182771083</v>
      </c>
      <c r="AE108" s="76">
        <f t="shared" si="67"/>
        <v>3.2733558347128535</v>
      </c>
      <c r="AF108" s="46">
        <f t="shared" si="68"/>
        <v>6.0000000000000005E-2</v>
      </c>
      <c r="AG108" s="76">
        <f t="shared" si="69"/>
        <v>0.42414112853447733</v>
      </c>
      <c r="AH108" s="76">
        <f t="shared" si="70"/>
        <v>0.82301469114619663</v>
      </c>
      <c r="AI108" s="50">
        <f t="shared" si="51"/>
        <v>339.84845660228433</v>
      </c>
      <c r="AJ108" s="76">
        <f t="shared" si="71"/>
        <v>0.18154012004763848</v>
      </c>
      <c r="AK108" s="76">
        <f t="shared" si="72"/>
        <v>0.28296826901575345</v>
      </c>
      <c r="AL108" s="76">
        <f t="shared" si="73"/>
        <v>2.8088474456494614</v>
      </c>
      <c r="AM108" s="76">
        <f t="shared" si="74"/>
        <v>1.8538393141286447</v>
      </c>
      <c r="AN108" s="76">
        <f t="shared" si="52"/>
        <v>33.538450980075311</v>
      </c>
      <c r="AO108" s="76">
        <f t="shared" si="75"/>
        <v>0.2972717251180757</v>
      </c>
      <c r="AP108" s="78">
        <f t="shared" si="53"/>
        <v>9.9700331806350047</v>
      </c>
      <c r="AQ108" s="78">
        <f t="shared" si="76"/>
        <v>0.36478003799043229</v>
      </c>
      <c r="AR108" s="78">
        <f t="shared" si="77"/>
        <v>13.473017811668925</v>
      </c>
      <c r="AS108" s="78">
        <f t="shared" si="78"/>
        <v>29.640639185671635</v>
      </c>
      <c r="AT108" s="78">
        <f t="shared" si="54"/>
        <v>27.331630413659056</v>
      </c>
      <c r="AU108" s="78">
        <f t="shared" si="79"/>
        <v>60.12958691004993</v>
      </c>
      <c r="AV108" s="78">
        <f t="shared" si="80"/>
        <v>8.1994891240977168</v>
      </c>
      <c r="AW108" s="79">
        <f t="shared" si="55"/>
        <v>1643.1533242812263</v>
      </c>
      <c r="AX108" s="79">
        <f t="shared" si="56"/>
        <v>16431.533242812264</v>
      </c>
      <c r="AY108" s="30"/>
      <c r="AZ108" s="1"/>
    </row>
    <row r="109" spans="1:52" x14ac:dyDescent="0.25">
      <c r="A109" s="47" t="s">
        <v>264</v>
      </c>
      <c r="B109" s="47"/>
      <c r="C109" s="48">
        <v>10</v>
      </c>
      <c r="D109" s="48">
        <v>37.1</v>
      </c>
      <c r="E109" s="48">
        <v>76.8</v>
      </c>
      <c r="F109" s="48">
        <v>3.5</v>
      </c>
      <c r="G109" s="48">
        <v>7.4</v>
      </c>
      <c r="H109" s="80">
        <f>'Fiber_Ash Inputs'!V82</f>
        <v>35.6</v>
      </c>
      <c r="I109" s="80">
        <f>'Fiber_Ash Inputs'!W82</f>
        <v>64.2</v>
      </c>
      <c r="J109" s="80">
        <f>'Fiber_Ash Inputs'!X82</f>
        <v>7.9</v>
      </c>
      <c r="K109" s="80">
        <f>'Fiber_Ash Inputs'!U82</f>
        <v>3</v>
      </c>
      <c r="L109" s="76">
        <f t="shared" si="57"/>
        <v>24.35079535546226</v>
      </c>
      <c r="M109" s="76">
        <f t="shared" si="58"/>
        <v>94.616843393682686</v>
      </c>
      <c r="N109" s="76">
        <f t="shared" si="44"/>
        <v>22.191011235955056</v>
      </c>
      <c r="O109" s="76">
        <f t="shared" si="59"/>
        <v>22.191011235955056</v>
      </c>
      <c r="P109" s="76">
        <f>(100*((LN((100-O109)-I109)-4.6052)/-'Fiber_Ash Inputs'!$D$17))*'Fiber_Ash Inputs'!$C$17</f>
        <v>7.3869240261072449</v>
      </c>
      <c r="Q109" s="76">
        <f t="shared" si="60"/>
        <v>58.830414718402729</v>
      </c>
      <c r="R109" s="76">
        <f>IF('Fiber_Ash Inputs'!$B$11=30,I109,IF('Fiber_Ash Inputs'!$B$11=48,I109*0.926))</f>
        <v>64.2</v>
      </c>
      <c r="S109" s="76">
        <f t="shared" si="45"/>
        <v>5.6980000000000004</v>
      </c>
      <c r="T109" s="76">
        <f t="shared" si="46"/>
        <v>1.7094</v>
      </c>
      <c r="U109" s="46">
        <f t="shared" si="47"/>
        <v>2.5</v>
      </c>
      <c r="V109" s="77">
        <f t="shared" si="48"/>
        <v>14.399999999999997</v>
      </c>
      <c r="W109" s="76">
        <f t="shared" si="61"/>
        <v>4.5856445751997779</v>
      </c>
      <c r="X109" s="76">
        <f t="shared" si="62"/>
        <v>2.8283731001045389</v>
      </c>
      <c r="Y109" s="76">
        <f t="shared" si="63"/>
        <v>1.4298208821942155</v>
      </c>
      <c r="Z109" s="76">
        <f t="shared" si="49"/>
        <v>3.4787109692996374</v>
      </c>
      <c r="AA109" s="76">
        <f t="shared" si="50"/>
        <v>1.0436132907898912</v>
      </c>
      <c r="AB109" s="76">
        <f t="shared" si="64"/>
        <v>3.5106375837640469</v>
      </c>
      <c r="AC109" s="76">
        <f t="shared" si="65"/>
        <v>2.1952587200950457</v>
      </c>
      <c r="AD109" s="76">
        <f t="shared" si="66"/>
        <v>15.518325182771083</v>
      </c>
      <c r="AE109" s="76">
        <f t="shared" si="67"/>
        <v>3.2733558347128535</v>
      </c>
      <c r="AF109" s="46">
        <f t="shared" si="68"/>
        <v>6.0000000000000005E-2</v>
      </c>
      <c r="AG109" s="76">
        <f t="shared" si="69"/>
        <v>0.42414112853447733</v>
      </c>
      <c r="AH109" s="76">
        <f t="shared" si="70"/>
        <v>0.82301469114619663</v>
      </c>
      <c r="AI109" s="50">
        <f t="shared" si="51"/>
        <v>339.84845660228433</v>
      </c>
      <c r="AJ109" s="76">
        <f t="shared" si="71"/>
        <v>0.18154012004763848</v>
      </c>
      <c r="AK109" s="76">
        <f t="shared" si="72"/>
        <v>0.28296826901575345</v>
      </c>
      <c r="AL109" s="76">
        <f t="shared" si="73"/>
        <v>2.8088474456494614</v>
      </c>
      <c r="AM109" s="76">
        <f t="shared" si="74"/>
        <v>1.8538393141286447</v>
      </c>
      <c r="AN109" s="76">
        <f t="shared" si="52"/>
        <v>33.538450980075311</v>
      </c>
      <c r="AO109" s="76">
        <f t="shared" si="75"/>
        <v>0.2972717251180757</v>
      </c>
      <c r="AP109" s="78">
        <f t="shared" si="53"/>
        <v>9.9700331806350047</v>
      </c>
      <c r="AQ109" s="78">
        <f t="shared" si="76"/>
        <v>0.36478003799043229</v>
      </c>
      <c r="AR109" s="78">
        <f t="shared" si="77"/>
        <v>13.473017811668925</v>
      </c>
      <c r="AS109" s="78">
        <f t="shared" si="78"/>
        <v>29.640639185671635</v>
      </c>
      <c r="AT109" s="78">
        <f t="shared" si="54"/>
        <v>27.331630413659056</v>
      </c>
      <c r="AU109" s="78">
        <f t="shared" si="79"/>
        <v>60.12958691004993</v>
      </c>
      <c r="AV109" s="78">
        <f t="shared" si="80"/>
        <v>8.1994891240977168</v>
      </c>
      <c r="AW109" s="79">
        <f t="shared" si="55"/>
        <v>1643.1533242812263</v>
      </c>
      <c r="AX109" s="79">
        <f t="shared" si="56"/>
        <v>16431.533242812264</v>
      </c>
      <c r="AY109" s="30"/>
      <c r="AZ109" s="1"/>
    </row>
    <row r="110" spans="1:52" x14ac:dyDescent="0.25">
      <c r="A110" s="47" t="s">
        <v>265</v>
      </c>
      <c r="B110" s="47"/>
      <c r="C110" s="48">
        <v>10</v>
      </c>
      <c r="D110" s="48">
        <v>37.1</v>
      </c>
      <c r="E110" s="48">
        <v>76.8</v>
      </c>
      <c r="F110" s="48">
        <v>3.5</v>
      </c>
      <c r="G110" s="48">
        <v>7.4</v>
      </c>
      <c r="H110" s="80">
        <f>'Fiber_Ash Inputs'!V83</f>
        <v>35.6</v>
      </c>
      <c r="I110" s="80">
        <f>'Fiber_Ash Inputs'!W83</f>
        <v>64.2</v>
      </c>
      <c r="J110" s="80">
        <f>'Fiber_Ash Inputs'!X83</f>
        <v>7.9</v>
      </c>
      <c r="K110" s="80">
        <f>'Fiber_Ash Inputs'!U83</f>
        <v>3</v>
      </c>
      <c r="L110" s="76">
        <f t="shared" si="57"/>
        <v>24.35079535546226</v>
      </c>
      <c r="M110" s="76">
        <f t="shared" si="58"/>
        <v>94.616843393682686</v>
      </c>
      <c r="N110" s="76">
        <f t="shared" si="44"/>
        <v>22.191011235955056</v>
      </c>
      <c r="O110" s="76">
        <f t="shared" si="59"/>
        <v>22.191011235955056</v>
      </c>
      <c r="P110" s="76">
        <f>(100*((LN((100-O110)-I110)-4.6052)/-'Fiber_Ash Inputs'!$D$17))*'Fiber_Ash Inputs'!$C$17</f>
        <v>7.3869240261072449</v>
      </c>
      <c r="Q110" s="76">
        <f t="shared" si="60"/>
        <v>58.830414718402729</v>
      </c>
      <c r="R110" s="76">
        <f>IF('Fiber_Ash Inputs'!$B$11=30,I110,IF('Fiber_Ash Inputs'!$B$11=48,I110*0.926))</f>
        <v>64.2</v>
      </c>
      <c r="S110" s="76">
        <f t="shared" si="45"/>
        <v>5.6980000000000004</v>
      </c>
      <c r="T110" s="76">
        <f t="shared" si="46"/>
        <v>1.7094</v>
      </c>
      <c r="U110" s="46">
        <f t="shared" si="47"/>
        <v>2.5</v>
      </c>
      <c r="V110" s="77">
        <f t="shared" si="48"/>
        <v>14.399999999999997</v>
      </c>
      <c r="W110" s="76">
        <f t="shared" si="61"/>
        <v>4.5856445751997779</v>
      </c>
      <c r="X110" s="76">
        <f t="shared" si="62"/>
        <v>2.8283731001045389</v>
      </c>
      <c r="Y110" s="76">
        <f t="shared" si="63"/>
        <v>1.4298208821942155</v>
      </c>
      <c r="Z110" s="76">
        <f t="shared" si="49"/>
        <v>3.4787109692996374</v>
      </c>
      <c r="AA110" s="76">
        <f t="shared" si="50"/>
        <v>1.0436132907898912</v>
      </c>
      <c r="AB110" s="76">
        <f t="shared" si="64"/>
        <v>3.5106375837640469</v>
      </c>
      <c r="AC110" s="76">
        <f t="shared" si="65"/>
        <v>2.1952587200950457</v>
      </c>
      <c r="AD110" s="76">
        <f t="shared" si="66"/>
        <v>15.518325182771083</v>
      </c>
      <c r="AE110" s="76">
        <f t="shared" si="67"/>
        <v>3.2733558347128535</v>
      </c>
      <c r="AF110" s="46">
        <f t="shared" si="68"/>
        <v>6.0000000000000005E-2</v>
      </c>
      <c r="AG110" s="76">
        <f t="shared" si="69"/>
        <v>0.42414112853447733</v>
      </c>
      <c r="AH110" s="76">
        <f t="shared" si="70"/>
        <v>0.82301469114619663</v>
      </c>
      <c r="AI110" s="50">
        <f t="shared" si="51"/>
        <v>339.84845660228433</v>
      </c>
      <c r="AJ110" s="76">
        <f t="shared" si="71"/>
        <v>0.18154012004763848</v>
      </c>
      <c r="AK110" s="76">
        <f t="shared" si="72"/>
        <v>0.28296826901575345</v>
      </c>
      <c r="AL110" s="76">
        <f t="shared" si="73"/>
        <v>2.8088474456494614</v>
      </c>
      <c r="AM110" s="76">
        <f t="shared" si="74"/>
        <v>1.8538393141286447</v>
      </c>
      <c r="AN110" s="76">
        <f t="shared" si="52"/>
        <v>33.538450980075311</v>
      </c>
      <c r="AO110" s="76">
        <f t="shared" si="75"/>
        <v>0.2972717251180757</v>
      </c>
      <c r="AP110" s="78">
        <f t="shared" si="53"/>
        <v>9.9700331806350047</v>
      </c>
      <c r="AQ110" s="78">
        <f t="shared" si="76"/>
        <v>0.36478003799043229</v>
      </c>
      <c r="AR110" s="78">
        <f t="shared" si="77"/>
        <v>13.473017811668925</v>
      </c>
      <c r="AS110" s="78">
        <f t="shared" si="78"/>
        <v>29.640639185671635</v>
      </c>
      <c r="AT110" s="78">
        <f t="shared" si="54"/>
        <v>27.331630413659056</v>
      </c>
      <c r="AU110" s="78">
        <f t="shared" si="79"/>
        <v>60.12958691004993</v>
      </c>
      <c r="AV110" s="78">
        <f t="shared" si="80"/>
        <v>8.1994891240977168</v>
      </c>
      <c r="AW110" s="79">
        <f t="shared" si="55"/>
        <v>1643.1533242812263</v>
      </c>
      <c r="AX110" s="79">
        <f t="shared" si="56"/>
        <v>16431.533242812264</v>
      </c>
      <c r="AY110" s="30"/>
      <c r="AZ110" s="1"/>
    </row>
    <row r="111" spans="1:52" x14ac:dyDescent="0.25">
      <c r="A111" s="47" t="s">
        <v>266</v>
      </c>
      <c r="B111" s="47"/>
      <c r="C111" s="48">
        <v>10</v>
      </c>
      <c r="D111" s="48">
        <v>37.1</v>
      </c>
      <c r="E111" s="48">
        <v>76.8</v>
      </c>
      <c r="F111" s="48">
        <v>3.5</v>
      </c>
      <c r="G111" s="48">
        <v>7.4</v>
      </c>
      <c r="H111" s="80">
        <f>'Fiber_Ash Inputs'!V84</f>
        <v>35.6</v>
      </c>
      <c r="I111" s="80">
        <f>'Fiber_Ash Inputs'!W84</f>
        <v>64.2</v>
      </c>
      <c r="J111" s="80">
        <f>'Fiber_Ash Inputs'!X84</f>
        <v>7.9</v>
      </c>
      <c r="K111" s="80">
        <f>'Fiber_Ash Inputs'!U84</f>
        <v>3</v>
      </c>
      <c r="L111" s="76">
        <f t="shared" si="57"/>
        <v>24.35079535546226</v>
      </c>
      <c r="M111" s="76">
        <f t="shared" si="58"/>
        <v>94.616843393682686</v>
      </c>
      <c r="N111" s="76">
        <f t="shared" si="44"/>
        <v>22.191011235955056</v>
      </c>
      <c r="O111" s="76">
        <f t="shared" si="59"/>
        <v>22.191011235955056</v>
      </c>
      <c r="P111" s="76">
        <f>(100*((LN((100-O111)-I111)-4.6052)/-'Fiber_Ash Inputs'!$D$17))*'Fiber_Ash Inputs'!$C$17</f>
        <v>7.3869240261072449</v>
      </c>
      <c r="Q111" s="76">
        <f t="shared" si="60"/>
        <v>58.830414718402729</v>
      </c>
      <c r="R111" s="76">
        <f>IF('Fiber_Ash Inputs'!$B$11=30,I111,IF('Fiber_Ash Inputs'!$B$11=48,I111*0.926))</f>
        <v>64.2</v>
      </c>
      <c r="S111" s="76">
        <f t="shared" si="45"/>
        <v>5.6980000000000004</v>
      </c>
      <c r="T111" s="76">
        <f t="shared" si="46"/>
        <v>1.7094</v>
      </c>
      <c r="U111" s="46">
        <f t="shared" si="47"/>
        <v>2.5</v>
      </c>
      <c r="V111" s="77">
        <f t="shared" si="48"/>
        <v>14.399999999999997</v>
      </c>
      <c r="W111" s="76">
        <f t="shared" si="61"/>
        <v>4.5856445751997779</v>
      </c>
      <c r="X111" s="76">
        <f t="shared" si="62"/>
        <v>2.8283731001045389</v>
      </c>
      <c r="Y111" s="76">
        <f t="shared" si="63"/>
        <v>1.4298208821942155</v>
      </c>
      <c r="Z111" s="76">
        <f t="shared" si="49"/>
        <v>3.4787109692996374</v>
      </c>
      <c r="AA111" s="76">
        <f t="shared" si="50"/>
        <v>1.0436132907898912</v>
      </c>
      <c r="AB111" s="76">
        <f t="shared" si="64"/>
        <v>3.5106375837640469</v>
      </c>
      <c r="AC111" s="76">
        <f t="shared" si="65"/>
        <v>2.1952587200950457</v>
      </c>
      <c r="AD111" s="76">
        <f t="shared" si="66"/>
        <v>15.518325182771083</v>
      </c>
      <c r="AE111" s="76">
        <f t="shared" si="67"/>
        <v>3.2733558347128535</v>
      </c>
      <c r="AF111" s="46">
        <f t="shared" si="68"/>
        <v>6.0000000000000005E-2</v>
      </c>
      <c r="AG111" s="76">
        <f t="shared" si="69"/>
        <v>0.42414112853447733</v>
      </c>
      <c r="AH111" s="76">
        <f t="shared" si="70"/>
        <v>0.82301469114619663</v>
      </c>
      <c r="AI111" s="50">
        <f t="shared" si="51"/>
        <v>339.84845660228433</v>
      </c>
      <c r="AJ111" s="76">
        <f t="shared" si="71"/>
        <v>0.18154012004763848</v>
      </c>
      <c r="AK111" s="76">
        <f t="shared" si="72"/>
        <v>0.28296826901575345</v>
      </c>
      <c r="AL111" s="76">
        <f t="shared" si="73"/>
        <v>2.8088474456494614</v>
      </c>
      <c r="AM111" s="76">
        <f t="shared" si="74"/>
        <v>1.8538393141286447</v>
      </c>
      <c r="AN111" s="76">
        <f t="shared" si="52"/>
        <v>33.538450980075311</v>
      </c>
      <c r="AO111" s="76">
        <f t="shared" si="75"/>
        <v>0.2972717251180757</v>
      </c>
      <c r="AP111" s="78">
        <f t="shared" si="53"/>
        <v>9.9700331806350047</v>
      </c>
      <c r="AQ111" s="78">
        <f t="shared" si="76"/>
        <v>0.36478003799043229</v>
      </c>
      <c r="AR111" s="78">
        <f t="shared" si="77"/>
        <v>13.473017811668925</v>
      </c>
      <c r="AS111" s="78">
        <f t="shared" si="78"/>
        <v>29.640639185671635</v>
      </c>
      <c r="AT111" s="78">
        <f t="shared" si="54"/>
        <v>27.331630413659056</v>
      </c>
      <c r="AU111" s="78">
        <f t="shared" si="79"/>
        <v>60.12958691004993</v>
      </c>
      <c r="AV111" s="78">
        <f t="shared" si="80"/>
        <v>8.1994891240977168</v>
      </c>
      <c r="AW111" s="79">
        <f t="shared" si="55"/>
        <v>1643.1533242812263</v>
      </c>
      <c r="AX111" s="79">
        <f t="shared" si="56"/>
        <v>16431.533242812264</v>
      </c>
      <c r="AY111" s="30"/>
      <c r="AZ111" s="1"/>
    </row>
    <row r="112" spans="1:52" x14ac:dyDescent="0.25">
      <c r="A112" s="47" t="s">
        <v>267</v>
      </c>
      <c r="B112" s="47"/>
      <c r="C112" s="48">
        <v>10</v>
      </c>
      <c r="D112" s="48">
        <v>37.1</v>
      </c>
      <c r="E112" s="48">
        <v>76.8</v>
      </c>
      <c r="F112" s="48">
        <v>3.5</v>
      </c>
      <c r="G112" s="48">
        <v>7.4</v>
      </c>
      <c r="H112" s="80">
        <f>'Fiber_Ash Inputs'!V85</f>
        <v>35.6</v>
      </c>
      <c r="I112" s="80">
        <f>'Fiber_Ash Inputs'!W85</f>
        <v>64.2</v>
      </c>
      <c r="J112" s="80">
        <f>'Fiber_Ash Inputs'!X85</f>
        <v>7.9</v>
      </c>
      <c r="K112" s="80">
        <f>'Fiber_Ash Inputs'!U85</f>
        <v>3.8</v>
      </c>
      <c r="L112" s="76">
        <f t="shared" si="57"/>
        <v>24.35079535546226</v>
      </c>
      <c r="M112" s="76">
        <f t="shared" si="58"/>
        <v>94.616843393682686</v>
      </c>
      <c r="N112" s="76">
        <f t="shared" si="44"/>
        <v>22.191011235955056</v>
      </c>
      <c r="O112" s="76">
        <f t="shared" si="59"/>
        <v>22.191011235955056</v>
      </c>
      <c r="P112" s="76">
        <f>(100*((LN((100-O112)-I112)-4.6052)/-'Fiber_Ash Inputs'!$D$17))*'Fiber_Ash Inputs'!$C$17</f>
        <v>7.3869240261072449</v>
      </c>
      <c r="Q112" s="76">
        <f t="shared" si="60"/>
        <v>58.830414718402729</v>
      </c>
      <c r="R112" s="76">
        <f>IF('Fiber_Ash Inputs'!$B$11=30,I112,IF('Fiber_Ash Inputs'!$B$11=48,I112*0.926))</f>
        <v>64.2</v>
      </c>
      <c r="S112" s="76">
        <f t="shared" si="45"/>
        <v>5.6980000000000004</v>
      </c>
      <c r="T112" s="76">
        <f t="shared" si="46"/>
        <v>1.7094</v>
      </c>
      <c r="U112" s="46">
        <f t="shared" si="47"/>
        <v>2.5</v>
      </c>
      <c r="V112" s="77">
        <f t="shared" si="48"/>
        <v>13.6</v>
      </c>
      <c r="W112" s="76">
        <f t="shared" si="61"/>
        <v>4.5856445751997779</v>
      </c>
      <c r="X112" s="76">
        <f t="shared" si="62"/>
        <v>2.8283731001045389</v>
      </c>
      <c r="Y112" s="76">
        <f t="shared" si="63"/>
        <v>1.4298208821942155</v>
      </c>
      <c r="Z112" s="76">
        <f t="shared" si="49"/>
        <v>3.4495909692996376</v>
      </c>
      <c r="AA112" s="76">
        <f t="shared" si="50"/>
        <v>1.0348772907898913</v>
      </c>
      <c r="AB112" s="76">
        <f t="shared" si="64"/>
        <v>3.501901583764047</v>
      </c>
      <c r="AC112" s="76">
        <f t="shared" si="65"/>
        <v>2.1952587200950457</v>
      </c>
      <c r="AD112" s="76">
        <f t="shared" si="66"/>
        <v>15.518325182771083</v>
      </c>
      <c r="AE112" s="76">
        <f t="shared" si="67"/>
        <v>3.2646198347128537</v>
      </c>
      <c r="AF112" s="46">
        <f t="shared" si="68"/>
        <v>6.0000000000000005E-2</v>
      </c>
      <c r="AG112" s="76">
        <f t="shared" si="69"/>
        <v>0.42414112853447733</v>
      </c>
      <c r="AH112" s="76">
        <f t="shared" si="70"/>
        <v>0.82301469114619663</v>
      </c>
      <c r="AI112" s="50">
        <f t="shared" si="51"/>
        <v>339.84845660228433</v>
      </c>
      <c r="AJ112" s="76">
        <f t="shared" si="71"/>
        <v>0.18154012004763848</v>
      </c>
      <c r="AK112" s="76">
        <f t="shared" si="72"/>
        <v>0.28296826901575345</v>
      </c>
      <c r="AL112" s="76">
        <f t="shared" si="73"/>
        <v>2.8001114456494616</v>
      </c>
      <c r="AM112" s="76">
        <f t="shared" si="74"/>
        <v>1.8480735541286448</v>
      </c>
      <c r="AN112" s="76">
        <f t="shared" si="52"/>
        <v>33.380863358701461</v>
      </c>
      <c r="AO112" s="76">
        <f t="shared" si="75"/>
        <v>0.29551866779692454</v>
      </c>
      <c r="AP112" s="78">
        <f t="shared" si="53"/>
        <v>9.8646682696746275</v>
      </c>
      <c r="AQ112" s="78">
        <f t="shared" si="76"/>
        <v>0.36092498399746886</v>
      </c>
      <c r="AR112" s="78">
        <f t="shared" si="77"/>
        <v>13.330632796857605</v>
      </c>
      <c r="AS112" s="78">
        <f t="shared" si="78"/>
        <v>29.327392153086734</v>
      </c>
      <c r="AT112" s="78">
        <f t="shared" si="54"/>
        <v>27.331630413659056</v>
      </c>
      <c r="AU112" s="78">
        <f t="shared" si="79"/>
        <v>60.12958691004993</v>
      </c>
      <c r="AV112" s="78">
        <f t="shared" si="80"/>
        <v>8.1994891240977168</v>
      </c>
      <c r="AW112" s="79">
        <f t="shared" si="55"/>
        <v>1625.7882162048147</v>
      </c>
      <c r="AX112" s="79">
        <f t="shared" si="56"/>
        <v>16257.882162048147</v>
      </c>
      <c r="AY112" s="30"/>
      <c r="AZ112" s="1"/>
    </row>
    <row r="113" spans="1:52" x14ac:dyDescent="0.25">
      <c r="A113" s="47" t="s">
        <v>268</v>
      </c>
      <c r="B113" s="47"/>
      <c r="C113" s="48">
        <v>10</v>
      </c>
      <c r="D113" s="48">
        <v>37.1</v>
      </c>
      <c r="E113" s="48">
        <v>76.8</v>
      </c>
      <c r="F113" s="48">
        <v>3.5</v>
      </c>
      <c r="G113" s="48">
        <v>7.4</v>
      </c>
      <c r="H113" s="80">
        <f>'Fiber_Ash Inputs'!V86</f>
        <v>35.6</v>
      </c>
      <c r="I113" s="80">
        <f>'Fiber_Ash Inputs'!W86</f>
        <v>64.2</v>
      </c>
      <c r="J113" s="80">
        <f>'Fiber_Ash Inputs'!X86</f>
        <v>7.9</v>
      </c>
      <c r="K113" s="80">
        <f>'Fiber_Ash Inputs'!U86</f>
        <v>3</v>
      </c>
      <c r="L113" s="76">
        <f t="shared" si="57"/>
        <v>24.35079535546226</v>
      </c>
      <c r="M113" s="76">
        <f t="shared" si="58"/>
        <v>94.616843393682686</v>
      </c>
      <c r="N113" s="76">
        <f t="shared" si="44"/>
        <v>22.191011235955056</v>
      </c>
      <c r="O113" s="76">
        <f t="shared" si="59"/>
        <v>22.191011235955056</v>
      </c>
      <c r="P113" s="76">
        <f>(100*((LN((100-O113)-I113)-4.6052)/-'Fiber_Ash Inputs'!$D$17))*'Fiber_Ash Inputs'!$C$17</f>
        <v>7.3869240261072449</v>
      </c>
      <c r="Q113" s="76">
        <f t="shared" si="60"/>
        <v>58.830414718402729</v>
      </c>
      <c r="R113" s="76">
        <f>IF('Fiber_Ash Inputs'!$B$11=30,I113,IF('Fiber_Ash Inputs'!$B$11=48,I113*0.926))</f>
        <v>64.2</v>
      </c>
      <c r="S113" s="76">
        <f t="shared" si="45"/>
        <v>5.6980000000000004</v>
      </c>
      <c r="T113" s="76">
        <f t="shared" si="46"/>
        <v>1.7094</v>
      </c>
      <c r="U113" s="46">
        <f t="shared" si="47"/>
        <v>2.5</v>
      </c>
      <c r="V113" s="77">
        <f t="shared" si="48"/>
        <v>14.399999999999997</v>
      </c>
      <c r="W113" s="76">
        <f t="shared" si="61"/>
        <v>4.5856445751997779</v>
      </c>
      <c r="X113" s="76">
        <f t="shared" si="62"/>
        <v>2.8283731001045389</v>
      </c>
      <c r="Y113" s="76">
        <f t="shared" si="63"/>
        <v>1.4298208821942155</v>
      </c>
      <c r="Z113" s="76">
        <f t="shared" si="49"/>
        <v>3.4787109692996374</v>
      </c>
      <c r="AA113" s="76">
        <f t="shared" si="50"/>
        <v>1.0436132907898912</v>
      </c>
      <c r="AB113" s="76">
        <f t="shared" si="64"/>
        <v>3.5106375837640469</v>
      </c>
      <c r="AC113" s="76">
        <f t="shared" si="65"/>
        <v>2.1952587200950457</v>
      </c>
      <c r="AD113" s="76">
        <f t="shared" si="66"/>
        <v>15.518325182771083</v>
      </c>
      <c r="AE113" s="76">
        <f t="shared" si="67"/>
        <v>3.2733558347128535</v>
      </c>
      <c r="AF113" s="46">
        <f t="shared" si="68"/>
        <v>6.0000000000000005E-2</v>
      </c>
      <c r="AG113" s="76">
        <f t="shared" si="69"/>
        <v>0.42414112853447733</v>
      </c>
      <c r="AH113" s="76">
        <f t="shared" si="70"/>
        <v>0.82301469114619663</v>
      </c>
      <c r="AI113" s="50">
        <f t="shared" si="51"/>
        <v>339.84845660228433</v>
      </c>
      <c r="AJ113" s="76">
        <f t="shared" si="71"/>
        <v>0.18154012004763848</v>
      </c>
      <c r="AK113" s="76">
        <f t="shared" si="72"/>
        <v>0.28296826901575345</v>
      </c>
      <c r="AL113" s="76">
        <f t="shared" si="73"/>
        <v>2.8088474456494614</v>
      </c>
      <c r="AM113" s="76">
        <f t="shared" si="74"/>
        <v>1.8538393141286447</v>
      </c>
      <c r="AN113" s="76">
        <f t="shared" si="52"/>
        <v>33.538450980075311</v>
      </c>
      <c r="AO113" s="76">
        <f t="shared" si="75"/>
        <v>0.2972717251180757</v>
      </c>
      <c r="AP113" s="78">
        <f t="shared" si="53"/>
        <v>9.9700331806350047</v>
      </c>
      <c r="AQ113" s="78">
        <f t="shared" si="76"/>
        <v>0.36478003799043229</v>
      </c>
      <c r="AR113" s="78">
        <f t="shared" si="77"/>
        <v>13.473017811668925</v>
      </c>
      <c r="AS113" s="78">
        <f t="shared" si="78"/>
        <v>29.640639185671635</v>
      </c>
      <c r="AT113" s="78">
        <f t="shared" si="54"/>
        <v>27.331630413659056</v>
      </c>
      <c r="AU113" s="78">
        <f t="shared" si="79"/>
        <v>60.12958691004993</v>
      </c>
      <c r="AV113" s="78">
        <f t="shared" si="80"/>
        <v>8.1994891240977168</v>
      </c>
      <c r="AW113" s="79">
        <f t="shared" si="55"/>
        <v>1643.1533242812263</v>
      </c>
      <c r="AX113" s="79">
        <f t="shared" si="56"/>
        <v>16431.533242812264</v>
      </c>
      <c r="AY113" s="30"/>
      <c r="AZ113" s="1"/>
    </row>
    <row r="114" spans="1:52" x14ac:dyDescent="0.25">
      <c r="A114" s="47" t="s">
        <v>269</v>
      </c>
      <c r="B114" s="47"/>
      <c r="C114" s="48">
        <v>10</v>
      </c>
      <c r="D114" s="48">
        <v>37.1</v>
      </c>
      <c r="E114" s="48">
        <v>76.8</v>
      </c>
      <c r="F114" s="48">
        <v>3.5</v>
      </c>
      <c r="G114" s="48">
        <v>7.4</v>
      </c>
      <c r="H114" s="80">
        <f>'Fiber_Ash Inputs'!V87</f>
        <v>35.6</v>
      </c>
      <c r="I114" s="80">
        <f>'Fiber_Ash Inputs'!W87</f>
        <v>64.2</v>
      </c>
      <c r="J114" s="80">
        <f>'Fiber_Ash Inputs'!X87</f>
        <v>7.9</v>
      </c>
      <c r="K114" s="80">
        <f>'Fiber_Ash Inputs'!U87</f>
        <v>3</v>
      </c>
      <c r="L114" s="76">
        <f t="shared" si="57"/>
        <v>24.35079535546226</v>
      </c>
      <c r="M114" s="76">
        <f t="shared" si="58"/>
        <v>94.616843393682686</v>
      </c>
      <c r="N114" s="76">
        <f t="shared" si="44"/>
        <v>22.191011235955056</v>
      </c>
      <c r="O114" s="76">
        <f t="shared" si="59"/>
        <v>22.191011235955056</v>
      </c>
      <c r="P114" s="76">
        <f>(100*((LN((100-O114)-I114)-4.6052)/-'Fiber_Ash Inputs'!$D$17))*'Fiber_Ash Inputs'!$C$17</f>
        <v>7.3869240261072449</v>
      </c>
      <c r="Q114" s="76">
        <f t="shared" si="60"/>
        <v>58.830414718402729</v>
      </c>
      <c r="R114" s="76">
        <f>IF('Fiber_Ash Inputs'!$B$11=30,I114,IF('Fiber_Ash Inputs'!$B$11=48,I114*0.926))</f>
        <v>64.2</v>
      </c>
      <c r="S114" s="76">
        <f t="shared" si="45"/>
        <v>5.6980000000000004</v>
      </c>
      <c r="T114" s="76">
        <f t="shared" si="46"/>
        <v>1.7094</v>
      </c>
      <c r="U114" s="46">
        <f t="shared" si="47"/>
        <v>2.5</v>
      </c>
      <c r="V114" s="77">
        <f t="shared" si="48"/>
        <v>14.399999999999997</v>
      </c>
      <c r="W114" s="76">
        <f t="shared" si="61"/>
        <v>4.5856445751997779</v>
      </c>
      <c r="X114" s="76">
        <f t="shared" si="62"/>
        <v>2.8283731001045389</v>
      </c>
      <c r="Y114" s="76">
        <f t="shared" si="63"/>
        <v>1.4298208821942155</v>
      </c>
      <c r="Z114" s="76">
        <f t="shared" si="49"/>
        <v>3.4787109692996374</v>
      </c>
      <c r="AA114" s="76">
        <f t="shared" si="50"/>
        <v>1.0436132907898912</v>
      </c>
      <c r="AB114" s="76">
        <f t="shared" si="64"/>
        <v>3.5106375837640469</v>
      </c>
      <c r="AC114" s="76">
        <f t="shared" si="65"/>
        <v>2.1952587200950457</v>
      </c>
      <c r="AD114" s="76">
        <f t="shared" si="66"/>
        <v>15.518325182771083</v>
      </c>
      <c r="AE114" s="76">
        <f t="shared" si="67"/>
        <v>3.2733558347128535</v>
      </c>
      <c r="AF114" s="46">
        <f t="shared" si="68"/>
        <v>6.0000000000000005E-2</v>
      </c>
      <c r="AG114" s="76">
        <f t="shared" si="69"/>
        <v>0.42414112853447733</v>
      </c>
      <c r="AH114" s="76">
        <f t="shared" si="70"/>
        <v>0.82301469114619663</v>
      </c>
      <c r="AI114" s="50">
        <f t="shared" si="51"/>
        <v>339.84845660228433</v>
      </c>
      <c r="AJ114" s="76">
        <f t="shared" si="71"/>
        <v>0.18154012004763848</v>
      </c>
      <c r="AK114" s="76">
        <f t="shared" si="72"/>
        <v>0.28296826901575345</v>
      </c>
      <c r="AL114" s="76">
        <f t="shared" si="73"/>
        <v>2.8088474456494614</v>
      </c>
      <c r="AM114" s="76">
        <f t="shared" si="74"/>
        <v>1.8538393141286447</v>
      </c>
      <c r="AN114" s="76">
        <f t="shared" si="52"/>
        <v>33.538450980075311</v>
      </c>
      <c r="AO114" s="76">
        <f t="shared" si="75"/>
        <v>0.2972717251180757</v>
      </c>
      <c r="AP114" s="78">
        <f t="shared" si="53"/>
        <v>9.9700331806350047</v>
      </c>
      <c r="AQ114" s="78">
        <f t="shared" si="76"/>
        <v>0.36478003799043229</v>
      </c>
      <c r="AR114" s="78">
        <f t="shared" si="77"/>
        <v>13.473017811668925</v>
      </c>
      <c r="AS114" s="78">
        <f t="shared" si="78"/>
        <v>29.640639185671635</v>
      </c>
      <c r="AT114" s="78">
        <f t="shared" si="54"/>
        <v>27.331630413659056</v>
      </c>
      <c r="AU114" s="78">
        <f t="shared" si="79"/>
        <v>60.12958691004993</v>
      </c>
      <c r="AV114" s="78">
        <f t="shared" si="80"/>
        <v>8.1994891240977168</v>
      </c>
      <c r="AW114" s="79">
        <f t="shared" si="55"/>
        <v>1643.1533242812263</v>
      </c>
      <c r="AX114" s="79">
        <f t="shared" si="56"/>
        <v>16431.533242812264</v>
      </c>
      <c r="AY114" s="30"/>
      <c r="AZ114" s="1"/>
    </row>
    <row r="115" spans="1:52" x14ac:dyDescent="0.25">
      <c r="A115" s="47" t="s">
        <v>270</v>
      </c>
      <c r="B115" s="47"/>
      <c r="C115" s="48">
        <v>10</v>
      </c>
      <c r="D115" s="48">
        <v>37.1</v>
      </c>
      <c r="E115" s="48">
        <v>76.8</v>
      </c>
      <c r="F115" s="48">
        <v>3.5</v>
      </c>
      <c r="G115" s="48">
        <v>7.4</v>
      </c>
      <c r="H115" s="80">
        <f>'Fiber_Ash Inputs'!V88</f>
        <v>35.6</v>
      </c>
      <c r="I115" s="80">
        <f>'Fiber_Ash Inputs'!W88</f>
        <v>64.2</v>
      </c>
      <c r="J115" s="80">
        <f>'Fiber_Ash Inputs'!X88</f>
        <v>7.9</v>
      </c>
      <c r="K115" s="80">
        <f>'Fiber_Ash Inputs'!U88</f>
        <v>3</v>
      </c>
      <c r="L115" s="76">
        <f t="shared" si="57"/>
        <v>24.35079535546226</v>
      </c>
      <c r="M115" s="76">
        <f t="shared" si="58"/>
        <v>94.616843393682686</v>
      </c>
      <c r="N115" s="76">
        <f t="shared" si="44"/>
        <v>22.191011235955056</v>
      </c>
      <c r="O115" s="76">
        <f t="shared" si="59"/>
        <v>22.191011235955056</v>
      </c>
      <c r="P115" s="76">
        <f>(100*((LN((100-O115)-I115)-4.6052)/-'Fiber_Ash Inputs'!$D$17))*'Fiber_Ash Inputs'!$C$17</f>
        <v>7.3869240261072449</v>
      </c>
      <c r="Q115" s="76">
        <f t="shared" si="60"/>
        <v>58.830414718402729</v>
      </c>
      <c r="R115" s="76">
        <f>IF('Fiber_Ash Inputs'!$B$11=30,I115,IF('Fiber_Ash Inputs'!$B$11=48,I115*0.926))</f>
        <v>64.2</v>
      </c>
      <c r="S115" s="76">
        <f t="shared" si="45"/>
        <v>5.6980000000000004</v>
      </c>
      <c r="T115" s="76">
        <f t="shared" si="46"/>
        <v>1.7094</v>
      </c>
      <c r="U115" s="46">
        <f t="shared" si="47"/>
        <v>2.5</v>
      </c>
      <c r="V115" s="77">
        <f t="shared" si="48"/>
        <v>14.399999999999997</v>
      </c>
      <c r="W115" s="76">
        <f t="shared" si="61"/>
        <v>4.5856445751997779</v>
      </c>
      <c r="X115" s="76">
        <f t="shared" si="62"/>
        <v>2.8283731001045389</v>
      </c>
      <c r="Y115" s="76">
        <f t="shared" si="63"/>
        <v>1.4298208821942155</v>
      </c>
      <c r="Z115" s="76">
        <f t="shared" si="49"/>
        <v>3.4787109692996374</v>
      </c>
      <c r="AA115" s="76">
        <f t="shared" si="50"/>
        <v>1.0436132907898912</v>
      </c>
      <c r="AB115" s="76">
        <f t="shared" si="64"/>
        <v>3.5106375837640469</v>
      </c>
      <c r="AC115" s="76">
        <f t="shared" si="65"/>
        <v>2.1952587200950457</v>
      </c>
      <c r="AD115" s="76">
        <f t="shared" si="66"/>
        <v>15.518325182771083</v>
      </c>
      <c r="AE115" s="76">
        <f t="shared" si="67"/>
        <v>3.2733558347128535</v>
      </c>
      <c r="AF115" s="46">
        <f t="shared" si="68"/>
        <v>6.0000000000000005E-2</v>
      </c>
      <c r="AG115" s="76">
        <f t="shared" si="69"/>
        <v>0.42414112853447733</v>
      </c>
      <c r="AH115" s="76">
        <f t="shared" si="70"/>
        <v>0.82301469114619663</v>
      </c>
      <c r="AI115" s="50">
        <f t="shared" si="51"/>
        <v>339.84845660228433</v>
      </c>
      <c r="AJ115" s="76">
        <f t="shared" si="71"/>
        <v>0.18154012004763848</v>
      </c>
      <c r="AK115" s="76">
        <f t="shared" si="72"/>
        <v>0.28296826901575345</v>
      </c>
      <c r="AL115" s="76">
        <f t="shared" si="73"/>
        <v>2.8088474456494614</v>
      </c>
      <c r="AM115" s="76">
        <f t="shared" si="74"/>
        <v>1.8538393141286447</v>
      </c>
      <c r="AN115" s="76">
        <f t="shared" si="52"/>
        <v>33.538450980075311</v>
      </c>
      <c r="AO115" s="76">
        <f t="shared" si="75"/>
        <v>0.2972717251180757</v>
      </c>
      <c r="AP115" s="78">
        <f t="shared" si="53"/>
        <v>9.9700331806350047</v>
      </c>
      <c r="AQ115" s="78">
        <f t="shared" si="76"/>
        <v>0.36478003799043229</v>
      </c>
      <c r="AR115" s="78">
        <f t="shared" si="77"/>
        <v>13.473017811668925</v>
      </c>
      <c r="AS115" s="78">
        <f t="shared" si="78"/>
        <v>29.640639185671635</v>
      </c>
      <c r="AT115" s="78">
        <f t="shared" si="54"/>
        <v>27.331630413659056</v>
      </c>
      <c r="AU115" s="78">
        <f t="shared" si="79"/>
        <v>60.12958691004993</v>
      </c>
      <c r="AV115" s="78">
        <f t="shared" si="80"/>
        <v>8.1994891240977168</v>
      </c>
      <c r="AW115" s="79">
        <f t="shared" si="55"/>
        <v>1643.1533242812263</v>
      </c>
      <c r="AX115" s="79">
        <f t="shared" si="56"/>
        <v>16431.533242812264</v>
      </c>
      <c r="AY115" s="30"/>
      <c r="AZ115" s="1"/>
    </row>
    <row r="116" spans="1:52" x14ac:dyDescent="0.25">
      <c r="A116" s="47" t="s">
        <v>271</v>
      </c>
      <c r="B116" s="47"/>
      <c r="C116" s="48">
        <v>10</v>
      </c>
      <c r="D116" s="48">
        <v>37.1</v>
      </c>
      <c r="E116" s="48">
        <v>76.8</v>
      </c>
      <c r="F116" s="48">
        <v>3.5</v>
      </c>
      <c r="G116" s="48">
        <v>7.4</v>
      </c>
      <c r="H116" s="80">
        <f>'Fiber_Ash Inputs'!V89</f>
        <v>35.6</v>
      </c>
      <c r="I116" s="80">
        <f>'Fiber_Ash Inputs'!W89</f>
        <v>64.2</v>
      </c>
      <c r="J116" s="80">
        <f>'Fiber_Ash Inputs'!X89</f>
        <v>7.9</v>
      </c>
      <c r="K116" s="80">
        <f>'Fiber_Ash Inputs'!U89</f>
        <v>3</v>
      </c>
      <c r="L116" s="76">
        <f t="shared" si="57"/>
        <v>24.35079535546226</v>
      </c>
      <c r="M116" s="76">
        <f t="shared" si="58"/>
        <v>94.616843393682686</v>
      </c>
      <c r="N116" s="76">
        <f t="shared" si="44"/>
        <v>22.191011235955056</v>
      </c>
      <c r="O116" s="76">
        <f t="shared" si="59"/>
        <v>22.191011235955056</v>
      </c>
      <c r="P116" s="76">
        <f>(100*((LN((100-O116)-I116)-4.6052)/-'Fiber_Ash Inputs'!$D$17))*'Fiber_Ash Inputs'!$C$17</f>
        <v>7.3869240261072449</v>
      </c>
      <c r="Q116" s="76">
        <f t="shared" si="60"/>
        <v>58.830414718402729</v>
      </c>
      <c r="R116" s="76">
        <f>IF('Fiber_Ash Inputs'!$B$11=30,I116,IF('Fiber_Ash Inputs'!$B$11=48,I116*0.926))</f>
        <v>64.2</v>
      </c>
      <c r="S116" s="76">
        <f t="shared" si="45"/>
        <v>5.6980000000000004</v>
      </c>
      <c r="T116" s="76">
        <f t="shared" si="46"/>
        <v>1.7094</v>
      </c>
      <c r="U116" s="46">
        <f t="shared" si="47"/>
        <v>2.5</v>
      </c>
      <c r="V116" s="77">
        <f t="shared" si="48"/>
        <v>14.399999999999997</v>
      </c>
      <c r="W116" s="76">
        <f t="shared" si="61"/>
        <v>4.5856445751997779</v>
      </c>
      <c r="X116" s="76">
        <f t="shared" si="62"/>
        <v>2.8283731001045389</v>
      </c>
      <c r="Y116" s="76">
        <f t="shared" si="63"/>
        <v>1.4298208821942155</v>
      </c>
      <c r="Z116" s="76">
        <f t="shared" si="49"/>
        <v>3.4787109692996374</v>
      </c>
      <c r="AA116" s="76">
        <f t="shared" si="50"/>
        <v>1.0436132907898912</v>
      </c>
      <c r="AB116" s="76">
        <f t="shared" si="64"/>
        <v>3.5106375837640469</v>
      </c>
      <c r="AC116" s="76">
        <f t="shared" si="65"/>
        <v>2.1952587200950457</v>
      </c>
      <c r="AD116" s="76">
        <f t="shared" si="66"/>
        <v>15.518325182771083</v>
      </c>
      <c r="AE116" s="76">
        <f t="shared" si="67"/>
        <v>3.2733558347128535</v>
      </c>
      <c r="AF116" s="46">
        <f t="shared" si="68"/>
        <v>6.0000000000000005E-2</v>
      </c>
      <c r="AG116" s="76">
        <f t="shared" si="69"/>
        <v>0.42414112853447733</v>
      </c>
      <c r="AH116" s="76">
        <f t="shared" si="70"/>
        <v>0.82301469114619663</v>
      </c>
      <c r="AI116" s="50">
        <f t="shared" si="51"/>
        <v>339.84845660228433</v>
      </c>
      <c r="AJ116" s="76">
        <f t="shared" si="71"/>
        <v>0.18154012004763848</v>
      </c>
      <c r="AK116" s="76">
        <f t="shared" si="72"/>
        <v>0.28296826901575345</v>
      </c>
      <c r="AL116" s="76">
        <f t="shared" si="73"/>
        <v>2.8088474456494614</v>
      </c>
      <c r="AM116" s="76">
        <f t="shared" si="74"/>
        <v>1.8538393141286447</v>
      </c>
      <c r="AN116" s="76">
        <f t="shared" si="52"/>
        <v>33.538450980075311</v>
      </c>
      <c r="AO116" s="76">
        <f t="shared" si="75"/>
        <v>0.2972717251180757</v>
      </c>
      <c r="AP116" s="78">
        <f t="shared" si="53"/>
        <v>9.9700331806350047</v>
      </c>
      <c r="AQ116" s="78">
        <f t="shared" si="76"/>
        <v>0.36478003799043229</v>
      </c>
      <c r="AR116" s="78">
        <f t="shared" si="77"/>
        <v>13.473017811668925</v>
      </c>
      <c r="AS116" s="78">
        <f t="shared" si="78"/>
        <v>29.640639185671635</v>
      </c>
      <c r="AT116" s="78">
        <f t="shared" si="54"/>
        <v>27.331630413659056</v>
      </c>
      <c r="AU116" s="78">
        <f t="shared" si="79"/>
        <v>60.12958691004993</v>
      </c>
      <c r="AV116" s="78">
        <f t="shared" si="80"/>
        <v>8.1994891240977168</v>
      </c>
      <c r="AW116" s="79">
        <f t="shared" si="55"/>
        <v>1643.1533242812263</v>
      </c>
      <c r="AX116" s="79">
        <f t="shared" si="56"/>
        <v>16431.533242812264</v>
      </c>
      <c r="AY116" s="30"/>
      <c r="AZ116" s="1"/>
    </row>
    <row r="117" spans="1:52" x14ac:dyDescent="0.25">
      <c r="A117" s="47" t="s">
        <v>272</v>
      </c>
      <c r="B117" s="47"/>
      <c r="C117" s="48">
        <v>10</v>
      </c>
      <c r="D117" s="48">
        <v>37.1</v>
      </c>
      <c r="E117" s="48">
        <v>76.8</v>
      </c>
      <c r="F117" s="48">
        <v>3.5</v>
      </c>
      <c r="G117" s="48">
        <v>7.4</v>
      </c>
      <c r="H117" s="80">
        <f>'Fiber_Ash Inputs'!V90</f>
        <v>35.6</v>
      </c>
      <c r="I117" s="80">
        <f>'Fiber_Ash Inputs'!W90</f>
        <v>64.2</v>
      </c>
      <c r="J117" s="80">
        <f>'Fiber_Ash Inputs'!X90</f>
        <v>7.9</v>
      </c>
      <c r="K117" s="80">
        <f>'Fiber_Ash Inputs'!U90</f>
        <v>3</v>
      </c>
      <c r="L117" s="76">
        <f t="shared" si="57"/>
        <v>24.35079535546226</v>
      </c>
      <c r="M117" s="76">
        <f t="shared" si="58"/>
        <v>94.616843393682686</v>
      </c>
      <c r="N117" s="76">
        <f t="shared" si="44"/>
        <v>22.191011235955056</v>
      </c>
      <c r="O117" s="76">
        <f t="shared" si="59"/>
        <v>22.191011235955056</v>
      </c>
      <c r="P117" s="76">
        <f>(100*((LN((100-O117)-I117)-4.6052)/-'Fiber_Ash Inputs'!$D$17))*'Fiber_Ash Inputs'!$C$17</f>
        <v>7.3869240261072449</v>
      </c>
      <c r="Q117" s="76">
        <f t="shared" si="60"/>
        <v>58.830414718402729</v>
      </c>
      <c r="R117" s="76">
        <f>IF('Fiber_Ash Inputs'!$B$11=30,I117,IF('Fiber_Ash Inputs'!$B$11=48,I117*0.926))</f>
        <v>64.2</v>
      </c>
      <c r="S117" s="76">
        <f t="shared" si="45"/>
        <v>5.6980000000000004</v>
      </c>
      <c r="T117" s="76">
        <f t="shared" si="46"/>
        <v>1.7094</v>
      </c>
      <c r="U117" s="46">
        <f t="shared" si="47"/>
        <v>2.5</v>
      </c>
      <c r="V117" s="77">
        <f t="shared" si="48"/>
        <v>14.399999999999997</v>
      </c>
      <c r="W117" s="76">
        <f t="shared" si="61"/>
        <v>4.5856445751997779</v>
      </c>
      <c r="X117" s="76">
        <f t="shared" si="62"/>
        <v>2.8283731001045389</v>
      </c>
      <c r="Y117" s="76">
        <f t="shared" si="63"/>
        <v>1.4298208821942155</v>
      </c>
      <c r="Z117" s="76">
        <f t="shared" si="49"/>
        <v>3.4787109692996374</v>
      </c>
      <c r="AA117" s="76">
        <f t="shared" si="50"/>
        <v>1.0436132907898912</v>
      </c>
      <c r="AB117" s="76">
        <f t="shared" si="64"/>
        <v>3.5106375837640469</v>
      </c>
      <c r="AC117" s="76">
        <f t="shared" si="65"/>
        <v>2.1952587200950457</v>
      </c>
      <c r="AD117" s="76">
        <f t="shared" si="66"/>
        <v>15.518325182771083</v>
      </c>
      <c r="AE117" s="76">
        <f t="shared" si="67"/>
        <v>3.2733558347128535</v>
      </c>
      <c r="AF117" s="46">
        <f t="shared" si="68"/>
        <v>6.0000000000000005E-2</v>
      </c>
      <c r="AG117" s="76">
        <f t="shared" si="69"/>
        <v>0.42414112853447733</v>
      </c>
      <c r="AH117" s="76">
        <f t="shared" si="70"/>
        <v>0.82301469114619663</v>
      </c>
      <c r="AI117" s="50">
        <f t="shared" si="51"/>
        <v>339.84845660228433</v>
      </c>
      <c r="AJ117" s="76">
        <f t="shared" si="71"/>
        <v>0.18154012004763848</v>
      </c>
      <c r="AK117" s="76">
        <f t="shared" si="72"/>
        <v>0.28296826901575345</v>
      </c>
      <c r="AL117" s="76">
        <f t="shared" si="73"/>
        <v>2.8088474456494614</v>
      </c>
      <c r="AM117" s="76">
        <f t="shared" si="74"/>
        <v>1.8538393141286447</v>
      </c>
      <c r="AN117" s="76">
        <f t="shared" si="52"/>
        <v>33.538450980075311</v>
      </c>
      <c r="AO117" s="76">
        <f t="shared" si="75"/>
        <v>0.2972717251180757</v>
      </c>
      <c r="AP117" s="78">
        <f t="shared" si="53"/>
        <v>9.9700331806350047</v>
      </c>
      <c r="AQ117" s="78">
        <f t="shared" si="76"/>
        <v>0.36478003799043229</v>
      </c>
      <c r="AR117" s="78">
        <f t="shared" si="77"/>
        <v>13.473017811668925</v>
      </c>
      <c r="AS117" s="78">
        <f t="shared" si="78"/>
        <v>29.640639185671635</v>
      </c>
      <c r="AT117" s="78">
        <f t="shared" si="54"/>
        <v>27.331630413659056</v>
      </c>
      <c r="AU117" s="78">
        <f t="shared" si="79"/>
        <v>60.12958691004993</v>
      </c>
      <c r="AV117" s="78">
        <f t="shared" si="80"/>
        <v>8.1994891240977168</v>
      </c>
      <c r="AW117" s="79">
        <f t="shared" si="55"/>
        <v>1643.1533242812263</v>
      </c>
      <c r="AX117" s="79">
        <f t="shared" si="56"/>
        <v>16431.533242812264</v>
      </c>
      <c r="AY117" s="30"/>
      <c r="AZ117" s="1"/>
    </row>
    <row r="118" spans="1:52" x14ac:dyDescent="0.25">
      <c r="A118" s="47" t="s">
        <v>273</v>
      </c>
      <c r="B118" s="47"/>
      <c r="C118" s="48">
        <v>10</v>
      </c>
      <c r="D118" s="48">
        <v>37.1</v>
      </c>
      <c r="E118" s="48">
        <v>76.8</v>
      </c>
      <c r="F118" s="48">
        <v>3.5</v>
      </c>
      <c r="G118" s="48">
        <v>7.4</v>
      </c>
      <c r="H118" s="80">
        <f>'Fiber_Ash Inputs'!V91</f>
        <v>35.6</v>
      </c>
      <c r="I118" s="80">
        <f>'Fiber_Ash Inputs'!W91</f>
        <v>64.2</v>
      </c>
      <c r="J118" s="80">
        <f>'Fiber_Ash Inputs'!X91</f>
        <v>7.9</v>
      </c>
      <c r="K118" s="80">
        <f>'Fiber_Ash Inputs'!U91</f>
        <v>3</v>
      </c>
      <c r="L118" s="76">
        <f t="shared" si="57"/>
        <v>24.35079535546226</v>
      </c>
      <c r="M118" s="76">
        <f t="shared" si="58"/>
        <v>94.616843393682686</v>
      </c>
      <c r="N118" s="76">
        <f t="shared" si="44"/>
        <v>22.191011235955056</v>
      </c>
      <c r="O118" s="76">
        <f t="shared" si="59"/>
        <v>22.191011235955056</v>
      </c>
      <c r="P118" s="76">
        <f>(100*((LN((100-O118)-I118)-4.6052)/-'Fiber_Ash Inputs'!$D$17))*'Fiber_Ash Inputs'!$C$17</f>
        <v>7.3869240261072449</v>
      </c>
      <c r="Q118" s="76">
        <f t="shared" si="60"/>
        <v>58.830414718402729</v>
      </c>
      <c r="R118" s="76">
        <f>IF('Fiber_Ash Inputs'!$B$11=30,I118,IF('Fiber_Ash Inputs'!$B$11=48,I118*0.926))</f>
        <v>64.2</v>
      </c>
      <c r="S118" s="76">
        <f t="shared" si="45"/>
        <v>5.6980000000000004</v>
      </c>
      <c r="T118" s="76">
        <f t="shared" si="46"/>
        <v>1.7094</v>
      </c>
      <c r="U118" s="46">
        <f t="shared" si="47"/>
        <v>2.5</v>
      </c>
      <c r="V118" s="77">
        <f t="shared" si="48"/>
        <v>14.399999999999997</v>
      </c>
      <c r="W118" s="76">
        <f t="shared" si="61"/>
        <v>4.5856445751997779</v>
      </c>
      <c r="X118" s="76">
        <f t="shared" si="62"/>
        <v>2.8283731001045389</v>
      </c>
      <c r="Y118" s="76">
        <f t="shared" si="63"/>
        <v>1.4298208821942155</v>
      </c>
      <c r="Z118" s="76">
        <f t="shared" si="49"/>
        <v>3.4787109692996374</v>
      </c>
      <c r="AA118" s="76">
        <f t="shared" si="50"/>
        <v>1.0436132907898912</v>
      </c>
      <c r="AB118" s="76">
        <f t="shared" si="64"/>
        <v>3.5106375837640469</v>
      </c>
      <c r="AC118" s="76">
        <f t="shared" si="65"/>
        <v>2.1952587200950457</v>
      </c>
      <c r="AD118" s="76">
        <f t="shared" si="66"/>
        <v>15.518325182771083</v>
      </c>
      <c r="AE118" s="76">
        <f t="shared" si="67"/>
        <v>3.2733558347128535</v>
      </c>
      <c r="AF118" s="46">
        <f t="shared" si="68"/>
        <v>6.0000000000000005E-2</v>
      </c>
      <c r="AG118" s="76">
        <f t="shared" si="69"/>
        <v>0.42414112853447733</v>
      </c>
      <c r="AH118" s="76">
        <f t="shared" si="70"/>
        <v>0.82301469114619663</v>
      </c>
      <c r="AI118" s="50">
        <f t="shared" si="51"/>
        <v>339.84845660228433</v>
      </c>
      <c r="AJ118" s="76">
        <f t="shared" si="71"/>
        <v>0.18154012004763848</v>
      </c>
      <c r="AK118" s="76">
        <f t="shared" si="72"/>
        <v>0.28296826901575345</v>
      </c>
      <c r="AL118" s="76">
        <f t="shared" si="73"/>
        <v>2.8088474456494614</v>
      </c>
      <c r="AM118" s="76">
        <f t="shared" si="74"/>
        <v>1.8538393141286447</v>
      </c>
      <c r="AN118" s="76">
        <f t="shared" si="52"/>
        <v>33.538450980075311</v>
      </c>
      <c r="AO118" s="76">
        <f t="shared" si="75"/>
        <v>0.2972717251180757</v>
      </c>
      <c r="AP118" s="78">
        <f t="shared" si="53"/>
        <v>9.9700331806350047</v>
      </c>
      <c r="AQ118" s="78">
        <f t="shared" si="76"/>
        <v>0.36478003799043229</v>
      </c>
      <c r="AR118" s="78">
        <f t="shared" si="77"/>
        <v>13.473017811668925</v>
      </c>
      <c r="AS118" s="78">
        <f t="shared" si="78"/>
        <v>29.640639185671635</v>
      </c>
      <c r="AT118" s="78">
        <f t="shared" si="54"/>
        <v>27.331630413659056</v>
      </c>
      <c r="AU118" s="78">
        <f t="shared" si="79"/>
        <v>60.12958691004993</v>
      </c>
      <c r="AV118" s="78">
        <f t="shared" si="80"/>
        <v>8.1994891240977168</v>
      </c>
      <c r="AW118" s="79">
        <f t="shared" si="55"/>
        <v>1643.1533242812263</v>
      </c>
      <c r="AX118" s="79">
        <f t="shared" si="56"/>
        <v>16431.533242812264</v>
      </c>
      <c r="AY118" s="30"/>
      <c r="AZ118" s="1"/>
    </row>
    <row r="119" spans="1:52" x14ac:dyDescent="0.25">
      <c r="A119" s="47" t="s">
        <v>274</v>
      </c>
      <c r="B119" s="47"/>
      <c r="C119" s="48">
        <v>10</v>
      </c>
      <c r="D119" s="48">
        <v>37.1</v>
      </c>
      <c r="E119" s="48">
        <v>76.8</v>
      </c>
      <c r="F119" s="48">
        <v>3.5</v>
      </c>
      <c r="G119" s="48">
        <v>7.4</v>
      </c>
      <c r="H119" s="80">
        <f>'Fiber_Ash Inputs'!V92</f>
        <v>35.6</v>
      </c>
      <c r="I119" s="80">
        <f>'Fiber_Ash Inputs'!W92</f>
        <v>64.2</v>
      </c>
      <c r="J119" s="80">
        <f>'Fiber_Ash Inputs'!X92</f>
        <v>7.9</v>
      </c>
      <c r="K119" s="80">
        <f>'Fiber_Ash Inputs'!U92</f>
        <v>3</v>
      </c>
      <c r="L119" s="76">
        <f t="shared" si="57"/>
        <v>24.35079535546226</v>
      </c>
      <c r="M119" s="76">
        <f t="shared" si="58"/>
        <v>94.616843393682686</v>
      </c>
      <c r="N119" s="76">
        <f t="shared" si="44"/>
        <v>22.191011235955056</v>
      </c>
      <c r="O119" s="76">
        <f t="shared" si="59"/>
        <v>22.191011235955056</v>
      </c>
      <c r="P119" s="76">
        <f>(100*((LN((100-O119)-I119)-4.6052)/-'Fiber_Ash Inputs'!$D$17))*'Fiber_Ash Inputs'!$C$17</f>
        <v>7.3869240261072449</v>
      </c>
      <c r="Q119" s="76">
        <f t="shared" si="60"/>
        <v>58.830414718402729</v>
      </c>
      <c r="R119" s="76">
        <f>IF('Fiber_Ash Inputs'!$B$11=30,I119,IF('Fiber_Ash Inputs'!$B$11=48,I119*0.926))</f>
        <v>64.2</v>
      </c>
      <c r="S119" s="76">
        <f t="shared" si="45"/>
        <v>5.6980000000000004</v>
      </c>
      <c r="T119" s="76">
        <f t="shared" si="46"/>
        <v>1.7094</v>
      </c>
      <c r="U119" s="46">
        <f t="shared" si="47"/>
        <v>2.5</v>
      </c>
      <c r="V119" s="77">
        <f t="shared" si="48"/>
        <v>14.399999999999997</v>
      </c>
      <c r="W119" s="76">
        <f t="shared" si="61"/>
        <v>4.5856445751997779</v>
      </c>
      <c r="X119" s="76">
        <f t="shared" si="62"/>
        <v>2.8283731001045389</v>
      </c>
      <c r="Y119" s="76">
        <f t="shared" si="63"/>
        <v>1.4298208821942155</v>
      </c>
      <c r="Z119" s="76">
        <f t="shared" si="49"/>
        <v>3.4787109692996374</v>
      </c>
      <c r="AA119" s="76">
        <f t="shared" si="50"/>
        <v>1.0436132907898912</v>
      </c>
      <c r="AB119" s="76">
        <f t="shared" si="64"/>
        <v>3.5106375837640469</v>
      </c>
      <c r="AC119" s="76">
        <f t="shared" si="65"/>
        <v>2.1952587200950457</v>
      </c>
      <c r="AD119" s="76">
        <f t="shared" si="66"/>
        <v>15.518325182771083</v>
      </c>
      <c r="AE119" s="76">
        <f t="shared" si="67"/>
        <v>3.2733558347128535</v>
      </c>
      <c r="AF119" s="46">
        <f t="shared" si="68"/>
        <v>6.0000000000000005E-2</v>
      </c>
      <c r="AG119" s="76">
        <f t="shared" si="69"/>
        <v>0.42414112853447733</v>
      </c>
      <c r="AH119" s="76">
        <f t="shared" si="70"/>
        <v>0.82301469114619663</v>
      </c>
      <c r="AI119" s="50">
        <f t="shared" si="51"/>
        <v>339.84845660228433</v>
      </c>
      <c r="AJ119" s="76">
        <f t="shared" si="71"/>
        <v>0.18154012004763848</v>
      </c>
      <c r="AK119" s="76">
        <f t="shared" si="72"/>
        <v>0.28296826901575345</v>
      </c>
      <c r="AL119" s="76">
        <f t="shared" si="73"/>
        <v>2.8088474456494614</v>
      </c>
      <c r="AM119" s="76">
        <f t="shared" si="74"/>
        <v>1.8538393141286447</v>
      </c>
      <c r="AN119" s="76">
        <f t="shared" si="52"/>
        <v>33.538450980075311</v>
      </c>
      <c r="AO119" s="76">
        <f t="shared" si="75"/>
        <v>0.2972717251180757</v>
      </c>
      <c r="AP119" s="78">
        <f t="shared" si="53"/>
        <v>9.9700331806350047</v>
      </c>
      <c r="AQ119" s="78">
        <f t="shared" si="76"/>
        <v>0.36478003799043229</v>
      </c>
      <c r="AR119" s="78">
        <f t="shared" si="77"/>
        <v>13.473017811668925</v>
      </c>
      <c r="AS119" s="78">
        <f t="shared" si="78"/>
        <v>29.640639185671635</v>
      </c>
      <c r="AT119" s="78">
        <f t="shared" si="54"/>
        <v>27.331630413659056</v>
      </c>
      <c r="AU119" s="78">
        <f t="shared" si="79"/>
        <v>60.12958691004993</v>
      </c>
      <c r="AV119" s="78">
        <f t="shared" si="80"/>
        <v>8.1994891240977168</v>
      </c>
      <c r="AW119" s="79">
        <f t="shared" si="55"/>
        <v>1643.1533242812263</v>
      </c>
      <c r="AX119" s="79">
        <f t="shared" si="56"/>
        <v>16431.533242812264</v>
      </c>
      <c r="AY119" s="30"/>
      <c r="AZ119" s="1"/>
    </row>
    <row r="120" spans="1:52" x14ac:dyDescent="0.25">
      <c r="A120" s="47" t="s">
        <v>275</v>
      </c>
      <c r="B120" s="47"/>
      <c r="C120" s="48">
        <v>10</v>
      </c>
      <c r="D120" s="48">
        <v>37.1</v>
      </c>
      <c r="E120" s="48">
        <v>76.8</v>
      </c>
      <c r="F120" s="48">
        <v>3.5</v>
      </c>
      <c r="G120" s="48">
        <v>7.4</v>
      </c>
      <c r="H120" s="80">
        <f>'Fiber_Ash Inputs'!V93</f>
        <v>35.6</v>
      </c>
      <c r="I120" s="80">
        <f>'Fiber_Ash Inputs'!W93</f>
        <v>64.2</v>
      </c>
      <c r="J120" s="80">
        <f>'Fiber_Ash Inputs'!X93</f>
        <v>7.9</v>
      </c>
      <c r="K120" s="80">
        <f>'Fiber_Ash Inputs'!U93</f>
        <v>3</v>
      </c>
      <c r="L120" s="76">
        <f t="shared" si="57"/>
        <v>24.35079535546226</v>
      </c>
      <c r="M120" s="76">
        <f t="shared" si="58"/>
        <v>94.616843393682686</v>
      </c>
      <c r="N120" s="76">
        <f t="shared" si="44"/>
        <v>22.191011235955056</v>
      </c>
      <c r="O120" s="76">
        <f t="shared" si="59"/>
        <v>22.191011235955056</v>
      </c>
      <c r="P120" s="76">
        <f>(100*((LN((100-O120)-I120)-4.6052)/-'Fiber_Ash Inputs'!$D$17))*'Fiber_Ash Inputs'!$C$17</f>
        <v>7.3869240261072449</v>
      </c>
      <c r="Q120" s="76">
        <f t="shared" si="60"/>
        <v>58.830414718402729</v>
      </c>
      <c r="R120" s="76">
        <f>IF('Fiber_Ash Inputs'!$B$11=30,I120,IF('Fiber_Ash Inputs'!$B$11=48,I120*0.926))</f>
        <v>64.2</v>
      </c>
      <c r="S120" s="76">
        <f t="shared" si="45"/>
        <v>5.6980000000000004</v>
      </c>
      <c r="T120" s="76">
        <f t="shared" si="46"/>
        <v>1.7094</v>
      </c>
      <c r="U120" s="46">
        <f t="shared" si="47"/>
        <v>2.5</v>
      </c>
      <c r="V120" s="77">
        <f t="shared" si="48"/>
        <v>14.399999999999997</v>
      </c>
      <c r="W120" s="76">
        <f t="shared" si="61"/>
        <v>4.5856445751997779</v>
      </c>
      <c r="X120" s="76">
        <f t="shared" si="62"/>
        <v>2.8283731001045389</v>
      </c>
      <c r="Y120" s="76">
        <f t="shared" si="63"/>
        <v>1.4298208821942155</v>
      </c>
      <c r="Z120" s="76">
        <f t="shared" si="49"/>
        <v>3.4787109692996374</v>
      </c>
      <c r="AA120" s="76">
        <f t="shared" si="50"/>
        <v>1.0436132907898912</v>
      </c>
      <c r="AB120" s="76">
        <f t="shared" si="64"/>
        <v>3.5106375837640469</v>
      </c>
      <c r="AC120" s="76">
        <f t="shared" si="65"/>
        <v>2.1952587200950457</v>
      </c>
      <c r="AD120" s="76">
        <f t="shared" si="66"/>
        <v>15.518325182771083</v>
      </c>
      <c r="AE120" s="76">
        <f t="shared" si="67"/>
        <v>3.2733558347128535</v>
      </c>
      <c r="AF120" s="46">
        <f t="shared" si="68"/>
        <v>6.0000000000000005E-2</v>
      </c>
      <c r="AG120" s="76">
        <f t="shared" si="69"/>
        <v>0.42414112853447733</v>
      </c>
      <c r="AH120" s="76">
        <f t="shared" si="70"/>
        <v>0.82301469114619663</v>
      </c>
      <c r="AI120" s="50">
        <f t="shared" si="51"/>
        <v>339.84845660228433</v>
      </c>
      <c r="AJ120" s="76">
        <f t="shared" si="71"/>
        <v>0.18154012004763848</v>
      </c>
      <c r="AK120" s="76">
        <f t="shared" si="72"/>
        <v>0.28296826901575345</v>
      </c>
      <c r="AL120" s="76">
        <f t="shared" si="73"/>
        <v>2.8088474456494614</v>
      </c>
      <c r="AM120" s="76">
        <f t="shared" si="74"/>
        <v>1.8538393141286447</v>
      </c>
      <c r="AN120" s="76">
        <f t="shared" si="52"/>
        <v>33.538450980075311</v>
      </c>
      <c r="AO120" s="76">
        <f t="shared" si="75"/>
        <v>0.2972717251180757</v>
      </c>
      <c r="AP120" s="78">
        <f t="shared" si="53"/>
        <v>9.9700331806350047</v>
      </c>
      <c r="AQ120" s="78">
        <f t="shared" si="76"/>
        <v>0.36478003799043229</v>
      </c>
      <c r="AR120" s="78">
        <f t="shared" si="77"/>
        <v>13.473017811668925</v>
      </c>
      <c r="AS120" s="78">
        <f t="shared" si="78"/>
        <v>29.640639185671635</v>
      </c>
      <c r="AT120" s="78">
        <f t="shared" si="54"/>
        <v>27.331630413659056</v>
      </c>
      <c r="AU120" s="78">
        <f t="shared" si="79"/>
        <v>60.12958691004993</v>
      </c>
      <c r="AV120" s="78">
        <f t="shared" si="80"/>
        <v>8.1994891240977168</v>
      </c>
      <c r="AW120" s="79">
        <f t="shared" si="55"/>
        <v>1643.1533242812263</v>
      </c>
      <c r="AX120" s="79">
        <f t="shared" si="56"/>
        <v>16431.533242812264</v>
      </c>
      <c r="AY120" s="30"/>
      <c r="AZ120" s="1"/>
    </row>
    <row r="121" spans="1:52" x14ac:dyDescent="0.25">
      <c r="A121" s="47" t="s">
        <v>276</v>
      </c>
      <c r="B121" s="47"/>
      <c r="C121" s="48">
        <v>10</v>
      </c>
      <c r="D121" s="48">
        <v>37.1</v>
      </c>
      <c r="E121" s="48">
        <v>76.8</v>
      </c>
      <c r="F121" s="48">
        <v>3.5</v>
      </c>
      <c r="G121" s="48">
        <v>7.4</v>
      </c>
      <c r="H121" s="80">
        <f>'Fiber_Ash Inputs'!V94</f>
        <v>35.6</v>
      </c>
      <c r="I121" s="80">
        <f>'Fiber_Ash Inputs'!W94</f>
        <v>64.2</v>
      </c>
      <c r="J121" s="80">
        <f>'Fiber_Ash Inputs'!X94</f>
        <v>7.9</v>
      </c>
      <c r="K121" s="80">
        <f>'Fiber_Ash Inputs'!U94</f>
        <v>3</v>
      </c>
      <c r="L121" s="76">
        <f t="shared" si="57"/>
        <v>24.35079535546226</v>
      </c>
      <c r="M121" s="76">
        <f t="shared" si="58"/>
        <v>94.616843393682686</v>
      </c>
      <c r="N121" s="76">
        <f t="shared" si="44"/>
        <v>22.191011235955056</v>
      </c>
      <c r="O121" s="76">
        <f t="shared" si="59"/>
        <v>22.191011235955056</v>
      </c>
      <c r="P121" s="76">
        <f>(100*((LN((100-O121)-I121)-4.6052)/-'Fiber_Ash Inputs'!$D$17))*'Fiber_Ash Inputs'!$C$17</f>
        <v>7.3869240261072449</v>
      </c>
      <c r="Q121" s="76">
        <f t="shared" si="60"/>
        <v>58.830414718402729</v>
      </c>
      <c r="R121" s="76">
        <f>IF('Fiber_Ash Inputs'!$B$11=30,I121,IF('Fiber_Ash Inputs'!$B$11=48,I121*0.926))</f>
        <v>64.2</v>
      </c>
      <c r="S121" s="76">
        <f t="shared" si="45"/>
        <v>5.6980000000000004</v>
      </c>
      <c r="T121" s="76">
        <f t="shared" si="46"/>
        <v>1.7094</v>
      </c>
      <c r="U121" s="46">
        <f t="shared" si="47"/>
        <v>2.5</v>
      </c>
      <c r="V121" s="77">
        <f t="shared" si="48"/>
        <v>14.399999999999997</v>
      </c>
      <c r="W121" s="76">
        <f t="shared" si="61"/>
        <v>4.5856445751997779</v>
      </c>
      <c r="X121" s="76">
        <f t="shared" si="62"/>
        <v>2.8283731001045389</v>
      </c>
      <c r="Y121" s="76">
        <f t="shared" si="63"/>
        <v>1.4298208821942155</v>
      </c>
      <c r="Z121" s="76">
        <f t="shared" si="49"/>
        <v>3.4787109692996374</v>
      </c>
      <c r="AA121" s="76">
        <f t="shared" si="50"/>
        <v>1.0436132907898912</v>
      </c>
      <c r="AB121" s="76">
        <f t="shared" si="64"/>
        <v>3.5106375837640469</v>
      </c>
      <c r="AC121" s="76">
        <f t="shared" si="65"/>
        <v>2.1952587200950457</v>
      </c>
      <c r="AD121" s="76">
        <f t="shared" si="66"/>
        <v>15.518325182771083</v>
      </c>
      <c r="AE121" s="76">
        <f t="shared" si="67"/>
        <v>3.2733558347128535</v>
      </c>
      <c r="AF121" s="46">
        <f t="shared" si="68"/>
        <v>6.0000000000000005E-2</v>
      </c>
      <c r="AG121" s="76">
        <f t="shared" si="69"/>
        <v>0.42414112853447733</v>
      </c>
      <c r="AH121" s="76">
        <f t="shared" si="70"/>
        <v>0.82301469114619663</v>
      </c>
      <c r="AI121" s="50">
        <f t="shared" si="51"/>
        <v>339.84845660228433</v>
      </c>
      <c r="AJ121" s="76">
        <f t="shared" si="71"/>
        <v>0.18154012004763848</v>
      </c>
      <c r="AK121" s="76">
        <f t="shared" si="72"/>
        <v>0.28296826901575345</v>
      </c>
      <c r="AL121" s="76">
        <f t="shared" si="73"/>
        <v>2.8088474456494614</v>
      </c>
      <c r="AM121" s="76">
        <f t="shared" si="74"/>
        <v>1.8538393141286447</v>
      </c>
      <c r="AN121" s="76">
        <f t="shared" si="52"/>
        <v>33.538450980075311</v>
      </c>
      <c r="AO121" s="76">
        <f t="shared" si="75"/>
        <v>0.2972717251180757</v>
      </c>
      <c r="AP121" s="78">
        <f t="shared" si="53"/>
        <v>9.9700331806350047</v>
      </c>
      <c r="AQ121" s="78">
        <f t="shared" si="76"/>
        <v>0.36478003799043229</v>
      </c>
      <c r="AR121" s="78">
        <f t="shared" si="77"/>
        <v>13.473017811668925</v>
      </c>
      <c r="AS121" s="78">
        <f t="shared" si="78"/>
        <v>29.640639185671635</v>
      </c>
      <c r="AT121" s="78">
        <f t="shared" si="54"/>
        <v>27.331630413659056</v>
      </c>
      <c r="AU121" s="78">
        <f t="shared" si="79"/>
        <v>60.12958691004993</v>
      </c>
      <c r="AV121" s="78">
        <f t="shared" si="80"/>
        <v>8.1994891240977168</v>
      </c>
      <c r="AW121" s="79">
        <f t="shared" si="55"/>
        <v>1643.1533242812263</v>
      </c>
      <c r="AX121" s="79">
        <f t="shared" si="56"/>
        <v>16431.533242812264</v>
      </c>
      <c r="AY121" s="30"/>
      <c r="AZ121" s="1"/>
    </row>
    <row r="122" spans="1:52" x14ac:dyDescent="0.25">
      <c r="A122" s="47" t="s">
        <v>277</v>
      </c>
      <c r="B122" s="47"/>
      <c r="C122" s="48">
        <v>10</v>
      </c>
      <c r="D122" s="48">
        <v>37.1</v>
      </c>
      <c r="E122" s="48">
        <v>76.8</v>
      </c>
      <c r="F122" s="48">
        <v>3.5</v>
      </c>
      <c r="G122" s="48">
        <v>7.4</v>
      </c>
      <c r="H122" s="80">
        <f>'Fiber_Ash Inputs'!V95</f>
        <v>35.6</v>
      </c>
      <c r="I122" s="80">
        <f>'Fiber_Ash Inputs'!W95</f>
        <v>64.2</v>
      </c>
      <c r="J122" s="80">
        <f>'Fiber_Ash Inputs'!X95</f>
        <v>7.9</v>
      </c>
      <c r="K122" s="80">
        <f>'Fiber_Ash Inputs'!U95</f>
        <v>3</v>
      </c>
      <c r="L122" s="76">
        <f t="shared" si="57"/>
        <v>24.35079535546226</v>
      </c>
      <c r="M122" s="76">
        <f t="shared" si="58"/>
        <v>94.616843393682686</v>
      </c>
      <c r="N122" s="76">
        <f t="shared" si="44"/>
        <v>22.191011235955056</v>
      </c>
      <c r="O122" s="76">
        <f t="shared" si="59"/>
        <v>22.191011235955056</v>
      </c>
      <c r="P122" s="76">
        <f>(100*((LN((100-O122)-I122)-4.6052)/-'Fiber_Ash Inputs'!$D$17))*'Fiber_Ash Inputs'!$C$17</f>
        <v>7.3869240261072449</v>
      </c>
      <c r="Q122" s="76">
        <f t="shared" si="60"/>
        <v>58.830414718402729</v>
      </c>
      <c r="R122" s="76">
        <f>IF('Fiber_Ash Inputs'!$B$11=30,I122,IF('Fiber_Ash Inputs'!$B$11=48,I122*0.926))</f>
        <v>64.2</v>
      </c>
      <c r="S122" s="76">
        <f t="shared" si="45"/>
        <v>5.6980000000000004</v>
      </c>
      <c r="T122" s="76">
        <f t="shared" si="46"/>
        <v>1.7094</v>
      </c>
      <c r="U122" s="46">
        <f t="shared" si="47"/>
        <v>2.5</v>
      </c>
      <c r="V122" s="77">
        <f t="shared" si="48"/>
        <v>14.399999999999997</v>
      </c>
      <c r="W122" s="76">
        <f t="shared" si="61"/>
        <v>4.5856445751997779</v>
      </c>
      <c r="X122" s="76">
        <f t="shared" si="62"/>
        <v>2.8283731001045389</v>
      </c>
      <c r="Y122" s="76">
        <f t="shared" si="63"/>
        <v>1.4298208821942155</v>
      </c>
      <c r="Z122" s="76">
        <f t="shared" si="49"/>
        <v>3.4787109692996374</v>
      </c>
      <c r="AA122" s="76">
        <f t="shared" si="50"/>
        <v>1.0436132907898912</v>
      </c>
      <c r="AB122" s="76">
        <f t="shared" si="64"/>
        <v>3.5106375837640469</v>
      </c>
      <c r="AC122" s="76">
        <f t="shared" si="65"/>
        <v>2.1952587200950457</v>
      </c>
      <c r="AD122" s="76">
        <f t="shared" si="66"/>
        <v>15.518325182771083</v>
      </c>
      <c r="AE122" s="76">
        <f t="shared" si="67"/>
        <v>3.2733558347128535</v>
      </c>
      <c r="AF122" s="46">
        <f t="shared" si="68"/>
        <v>6.0000000000000005E-2</v>
      </c>
      <c r="AG122" s="76">
        <f t="shared" si="69"/>
        <v>0.42414112853447733</v>
      </c>
      <c r="AH122" s="76">
        <f t="shared" si="70"/>
        <v>0.82301469114619663</v>
      </c>
      <c r="AI122" s="50">
        <f t="shared" si="51"/>
        <v>339.84845660228433</v>
      </c>
      <c r="AJ122" s="76">
        <f t="shared" si="71"/>
        <v>0.18154012004763848</v>
      </c>
      <c r="AK122" s="76">
        <f t="shared" si="72"/>
        <v>0.28296826901575345</v>
      </c>
      <c r="AL122" s="76">
        <f t="shared" si="73"/>
        <v>2.8088474456494614</v>
      </c>
      <c r="AM122" s="76">
        <f t="shared" si="74"/>
        <v>1.8538393141286447</v>
      </c>
      <c r="AN122" s="76">
        <f t="shared" si="52"/>
        <v>33.538450980075311</v>
      </c>
      <c r="AO122" s="76">
        <f t="shared" si="75"/>
        <v>0.2972717251180757</v>
      </c>
      <c r="AP122" s="78">
        <f t="shared" si="53"/>
        <v>9.9700331806350047</v>
      </c>
      <c r="AQ122" s="78">
        <f t="shared" si="76"/>
        <v>0.36478003799043229</v>
      </c>
      <c r="AR122" s="78">
        <f t="shared" si="77"/>
        <v>13.473017811668925</v>
      </c>
      <c r="AS122" s="78">
        <f t="shared" si="78"/>
        <v>29.640639185671635</v>
      </c>
      <c r="AT122" s="78">
        <f t="shared" si="54"/>
        <v>27.331630413659056</v>
      </c>
      <c r="AU122" s="78">
        <f t="shared" si="79"/>
        <v>60.12958691004993</v>
      </c>
      <c r="AV122" s="78">
        <f t="shared" si="80"/>
        <v>8.1994891240977168</v>
      </c>
      <c r="AW122" s="79">
        <f t="shared" si="55"/>
        <v>1643.1533242812263</v>
      </c>
      <c r="AX122" s="79">
        <f t="shared" si="56"/>
        <v>16431.533242812264</v>
      </c>
      <c r="AY122" s="30"/>
      <c r="AZ122" s="1"/>
    </row>
    <row r="123" spans="1:52" x14ac:dyDescent="0.25">
      <c r="A123" s="47" t="s">
        <v>278</v>
      </c>
      <c r="B123" s="47"/>
      <c r="C123" s="48">
        <v>10</v>
      </c>
      <c r="D123" s="48">
        <v>37.1</v>
      </c>
      <c r="E123" s="48">
        <v>76.8</v>
      </c>
      <c r="F123" s="48">
        <v>3.5</v>
      </c>
      <c r="G123" s="48">
        <v>7.4</v>
      </c>
      <c r="H123" s="80">
        <f>'Fiber_Ash Inputs'!V96</f>
        <v>35.6</v>
      </c>
      <c r="I123" s="80">
        <f>'Fiber_Ash Inputs'!W96</f>
        <v>64.2</v>
      </c>
      <c r="J123" s="80">
        <f>'Fiber_Ash Inputs'!X96</f>
        <v>7.9</v>
      </c>
      <c r="K123" s="80">
        <f>'Fiber_Ash Inputs'!U96</f>
        <v>3</v>
      </c>
      <c r="L123" s="76">
        <f t="shared" si="57"/>
        <v>24.35079535546226</v>
      </c>
      <c r="M123" s="76">
        <f t="shared" si="58"/>
        <v>94.616843393682686</v>
      </c>
      <c r="N123" s="76">
        <f t="shared" si="44"/>
        <v>22.191011235955056</v>
      </c>
      <c r="O123" s="76">
        <f t="shared" si="59"/>
        <v>22.191011235955056</v>
      </c>
      <c r="P123" s="76">
        <f>(100*((LN((100-O123)-I123)-4.6052)/-'Fiber_Ash Inputs'!$D$17))*'Fiber_Ash Inputs'!$C$17</f>
        <v>7.3869240261072449</v>
      </c>
      <c r="Q123" s="76">
        <f t="shared" si="60"/>
        <v>58.830414718402729</v>
      </c>
      <c r="R123" s="76">
        <f>IF('Fiber_Ash Inputs'!$B$11=30,I123,IF('Fiber_Ash Inputs'!$B$11=48,I123*0.926))</f>
        <v>64.2</v>
      </c>
      <c r="S123" s="76">
        <f t="shared" si="45"/>
        <v>5.6980000000000004</v>
      </c>
      <c r="T123" s="76">
        <f t="shared" si="46"/>
        <v>1.7094</v>
      </c>
      <c r="U123" s="46">
        <f t="shared" si="47"/>
        <v>2.5</v>
      </c>
      <c r="V123" s="77">
        <f t="shared" si="48"/>
        <v>14.399999999999997</v>
      </c>
      <c r="W123" s="76">
        <f t="shared" si="61"/>
        <v>4.5856445751997779</v>
      </c>
      <c r="X123" s="76">
        <f t="shared" si="62"/>
        <v>2.8283731001045389</v>
      </c>
      <c r="Y123" s="76">
        <f t="shared" si="63"/>
        <v>1.4298208821942155</v>
      </c>
      <c r="Z123" s="76">
        <f t="shared" si="49"/>
        <v>3.4787109692996374</v>
      </c>
      <c r="AA123" s="76">
        <f t="shared" si="50"/>
        <v>1.0436132907898912</v>
      </c>
      <c r="AB123" s="76">
        <f t="shared" si="64"/>
        <v>3.5106375837640469</v>
      </c>
      <c r="AC123" s="76">
        <f t="shared" si="65"/>
        <v>2.1952587200950457</v>
      </c>
      <c r="AD123" s="76">
        <f t="shared" si="66"/>
        <v>15.518325182771083</v>
      </c>
      <c r="AE123" s="76">
        <f t="shared" si="67"/>
        <v>3.2733558347128535</v>
      </c>
      <c r="AF123" s="46">
        <f t="shared" si="68"/>
        <v>6.0000000000000005E-2</v>
      </c>
      <c r="AG123" s="76">
        <f t="shared" si="69"/>
        <v>0.42414112853447733</v>
      </c>
      <c r="AH123" s="76">
        <f t="shared" si="70"/>
        <v>0.82301469114619663</v>
      </c>
      <c r="AI123" s="50">
        <f t="shared" si="51"/>
        <v>339.84845660228433</v>
      </c>
      <c r="AJ123" s="76">
        <f t="shared" si="71"/>
        <v>0.18154012004763848</v>
      </c>
      <c r="AK123" s="76">
        <f t="shared" si="72"/>
        <v>0.28296826901575345</v>
      </c>
      <c r="AL123" s="76">
        <f t="shared" si="73"/>
        <v>2.8088474456494614</v>
      </c>
      <c r="AM123" s="76">
        <f t="shared" si="74"/>
        <v>1.8538393141286447</v>
      </c>
      <c r="AN123" s="76">
        <f t="shared" si="52"/>
        <v>33.538450980075311</v>
      </c>
      <c r="AO123" s="76">
        <f t="shared" si="75"/>
        <v>0.2972717251180757</v>
      </c>
      <c r="AP123" s="78">
        <f t="shared" si="53"/>
        <v>9.9700331806350047</v>
      </c>
      <c r="AQ123" s="78">
        <f t="shared" si="76"/>
        <v>0.36478003799043229</v>
      </c>
      <c r="AR123" s="78">
        <f t="shared" si="77"/>
        <v>13.473017811668925</v>
      </c>
      <c r="AS123" s="78">
        <f t="shared" si="78"/>
        <v>29.640639185671635</v>
      </c>
      <c r="AT123" s="78">
        <f t="shared" si="54"/>
        <v>27.331630413659056</v>
      </c>
      <c r="AU123" s="78">
        <f t="shared" si="79"/>
        <v>60.12958691004993</v>
      </c>
      <c r="AV123" s="78">
        <f t="shared" si="80"/>
        <v>8.1994891240977168</v>
      </c>
      <c r="AW123" s="79">
        <f t="shared" si="55"/>
        <v>1643.1533242812263</v>
      </c>
      <c r="AX123" s="79">
        <f t="shared" si="56"/>
        <v>16431.533242812264</v>
      </c>
      <c r="AY123" s="30"/>
      <c r="AZ123" s="1"/>
    </row>
    <row r="124" spans="1:52" x14ac:dyDescent="0.25">
      <c r="A124" s="47" t="s">
        <v>279</v>
      </c>
      <c r="B124" s="47"/>
      <c r="C124" s="48">
        <v>10</v>
      </c>
      <c r="D124" s="48">
        <v>37.1</v>
      </c>
      <c r="E124" s="48">
        <v>76.8</v>
      </c>
      <c r="F124" s="48">
        <v>3.5</v>
      </c>
      <c r="G124" s="48">
        <v>7.4</v>
      </c>
      <c r="H124" s="80">
        <f>'Fiber_Ash Inputs'!V97</f>
        <v>35.6</v>
      </c>
      <c r="I124" s="80">
        <f>'Fiber_Ash Inputs'!W97</f>
        <v>64.2</v>
      </c>
      <c r="J124" s="80">
        <f>'Fiber_Ash Inputs'!X97</f>
        <v>7.9</v>
      </c>
      <c r="K124" s="80">
        <f>'Fiber_Ash Inputs'!U97</f>
        <v>3</v>
      </c>
      <c r="L124" s="76">
        <f t="shared" si="57"/>
        <v>24.35079535546226</v>
      </c>
      <c r="M124" s="76">
        <f t="shared" si="58"/>
        <v>94.616843393682686</v>
      </c>
      <c r="N124" s="76">
        <f t="shared" si="44"/>
        <v>22.191011235955056</v>
      </c>
      <c r="O124" s="76">
        <f t="shared" si="59"/>
        <v>22.191011235955056</v>
      </c>
      <c r="P124" s="76">
        <f>(100*((LN((100-O124)-I124)-4.6052)/-'Fiber_Ash Inputs'!$D$17))*'Fiber_Ash Inputs'!$C$17</f>
        <v>7.3869240261072449</v>
      </c>
      <c r="Q124" s="76">
        <f t="shared" si="60"/>
        <v>58.830414718402729</v>
      </c>
      <c r="R124" s="76">
        <f>IF('Fiber_Ash Inputs'!$B$11=30,I124,IF('Fiber_Ash Inputs'!$B$11=48,I124*0.926))</f>
        <v>64.2</v>
      </c>
      <c r="S124" s="76">
        <f t="shared" si="45"/>
        <v>5.6980000000000004</v>
      </c>
      <c r="T124" s="76">
        <f t="shared" si="46"/>
        <v>1.7094</v>
      </c>
      <c r="U124" s="46">
        <f t="shared" si="47"/>
        <v>2.5</v>
      </c>
      <c r="V124" s="77">
        <f t="shared" si="48"/>
        <v>14.399999999999997</v>
      </c>
      <c r="W124" s="76">
        <f t="shared" si="61"/>
        <v>4.5856445751997779</v>
      </c>
      <c r="X124" s="76">
        <f t="shared" si="62"/>
        <v>2.8283731001045389</v>
      </c>
      <c r="Y124" s="76">
        <f t="shared" si="63"/>
        <v>1.4298208821942155</v>
      </c>
      <c r="Z124" s="76">
        <f t="shared" si="49"/>
        <v>3.4787109692996374</v>
      </c>
      <c r="AA124" s="76">
        <f t="shared" si="50"/>
        <v>1.0436132907898912</v>
      </c>
      <c r="AB124" s="76">
        <f t="shared" si="64"/>
        <v>3.5106375837640469</v>
      </c>
      <c r="AC124" s="76">
        <f t="shared" si="65"/>
        <v>2.1952587200950457</v>
      </c>
      <c r="AD124" s="76">
        <f t="shared" si="66"/>
        <v>15.518325182771083</v>
      </c>
      <c r="AE124" s="76">
        <f t="shared" si="67"/>
        <v>3.2733558347128535</v>
      </c>
      <c r="AF124" s="46">
        <f t="shared" si="68"/>
        <v>6.0000000000000005E-2</v>
      </c>
      <c r="AG124" s="76">
        <f t="shared" si="69"/>
        <v>0.42414112853447733</v>
      </c>
      <c r="AH124" s="76">
        <f t="shared" si="70"/>
        <v>0.82301469114619663</v>
      </c>
      <c r="AI124" s="50">
        <f t="shared" si="51"/>
        <v>339.84845660228433</v>
      </c>
      <c r="AJ124" s="76">
        <f t="shared" si="71"/>
        <v>0.18154012004763848</v>
      </c>
      <c r="AK124" s="76">
        <f t="shared" si="72"/>
        <v>0.28296826901575345</v>
      </c>
      <c r="AL124" s="76">
        <f t="shared" si="73"/>
        <v>2.8088474456494614</v>
      </c>
      <c r="AM124" s="76">
        <f t="shared" si="74"/>
        <v>1.8538393141286447</v>
      </c>
      <c r="AN124" s="76">
        <f t="shared" si="52"/>
        <v>33.538450980075311</v>
      </c>
      <c r="AO124" s="76">
        <f t="shared" si="75"/>
        <v>0.2972717251180757</v>
      </c>
      <c r="AP124" s="78">
        <f t="shared" si="53"/>
        <v>9.9700331806350047</v>
      </c>
      <c r="AQ124" s="78">
        <f t="shared" si="76"/>
        <v>0.36478003799043229</v>
      </c>
      <c r="AR124" s="78">
        <f t="shared" si="77"/>
        <v>13.473017811668925</v>
      </c>
      <c r="AS124" s="78">
        <f t="shared" si="78"/>
        <v>29.640639185671635</v>
      </c>
      <c r="AT124" s="78">
        <f t="shared" si="54"/>
        <v>27.331630413659056</v>
      </c>
      <c r="AU124" s="78">
        <f t="shared" si="79"/>
        <v>60.12958691004993</v>
      </c>
      <c r="AV124" s="78">
        <f t="shared" si="80"/>
        <v>8.1994891240977168</v>
      </c>
      <c r="AW124" s="79">
        <f t="shared" si="55"/>
        <v>1643.1533242812263</v>
      </c>
      <c r="AX124" s="79">
        <f t="shared" si="56"/>
        <v>16431.533242812264</v>
      </c>
      <c r="AY124" s="30"/>
      <c r="AZ124" s="1"/>
    </row>
    <row r="125" spans="1:52" x14ac:dyDescent="0.25">
      <c r="A125" s="47" t="s">
        <v>280</v>
      </c>
      <c r="B125" s="47"/>
      <c r="C125" s="48">
        <v>10</v>
      </c>
      <c r="D125" s="48">
        <v>37.1</v>
      </c>
      <c r="E125" s="48">
        <v>76.8</v>
      </c>
      <c r="F125" s="48">
        <v>3.5</v>
      </c>
      <c r="G125" s="48">
        <v>7.4</v>
      </c>
      <c r="H125" s="80">
        <f>'Fiber_Ash Inputs'!V98</f>
        <v>35.6</v>
      </c>
      <c r="I125" s="80">
        <f>'Fiber_Ash Inputs'!W98</f>
        <v>64.2</v>
      </c>
      <c r="J125" s="80">
        <f>'Fiber_Ash Inputs'!X98</f>
        <v>7.9</v>
      </c>
      <c r="K125" s="80">
        <f>'Fiber_Ash Inputs'!U98</f>
        <v>3</v>
      </c>
      <c r="L125" s="76">
        <f t="shared" si="57"/>
        <v>24.35079535546226</v>
      </c>
      <c r="M125" s="76">
        <f t="shared" si="58"/>
        <v>94.616843393682686</v>
      </c>
      <c r="N125" s="76">
        <f t="shared" si="44"/>
        <v>22.191011235955056</v>
      </c>
      <c r="O125" s="76">
        <f t="shared" si="59"/>
        <v>22.191011235955056</v>
      </c>
      <c r="P125" s="76">
        <f>(100*((LN((100-O125)-I125)-4.6052)/-'Fiber_Ash Inputs'!$D$17))*'Fiber_Ash Inputs'!$C$17</f>
        <v>7.3869240261072449</v>
      </c>
      <c r="Q125" s="76">
        <f t="shared" si="60"/>
        <v>58.830414718402729</v>
      </c>
      <c r="R125" s="76">
        <f>IF('Fiber_Ash Inputs'!$B$11=30,I125,IF('Fiber_Ash Inputs'!$B$11=48,I125*0.926))</f>
        <v>64.2</v>
      </c>
      <c r="S125" s="76">
        <f t="shared" si="45"/>
        <v>5.6980000000000004</v>
      </c>
      <c r="T125" s="76">
        <f t="shared" si="46"/>
        <v>1.7094</v>
      </c>
      <c r="U125" s="46">
        <f t="shared" si="47"/>
        <v>2.5</v>
      </c>
      <c r="V125" s="77">
        <f t="shared" si="48"/>
        <v>14.399999999999997</v>
      </c>
      <c r="W125" s="76">
        <f t="shared" si="61"/>
        <v>4.5856445751997779</v>
      </c>
      <c r="X125" s="76">
        <f t="shared" si="62"/>
        <v>2.8283731001045389</v>
      </c>
      <c r="Y125" s="76">
        <f t="shared" si="63"/>
        <v>1.4298208821942155</v>
      </c>
      <c r="Z125" s="76">
        <f t="shared" si="49"/>
        <v>3.4787109692996374</v>
      </c>
      <c r="AA125" s="76">
        <f t="shared" si="50"/>
        <v>1.0436132907898912</v>
      </c>
      <c r="AB125" s="76">
        <f t="shared" si="64"/>
        <v>3.5106375837640469</v>
      </c>
      <c r="AC125" s="76">
        <f t="shared" si="65"/>
        <v>2.1952587200950457</v>
      </c>
      <c r="AD125" s="76">
        <f t="shared" si="66"/>
        <v>15.518325182771083</v>
      </c>
      <c r="AE125" s="76">
        <f t="shared" si="67"/>
        <v>3.2733558347128535</v>
      </c>
      <c r="AF125" s="46">
        <f t="shared" si="68"/>
        <v>6.0000000000000005E-2</v>
      </c>
      <c r="AG125" s="76">
        <f t="shared" si="69"/>
        <v>0.42414112853447733</v>
      </c>
      <c r="AH125" s="76">
        <f t="shared" si="70"/>
        <v>0.82301469114619663</v>
      </c>
      <c r="AI125" s="50">
        <f t="shared" si="51"/>
        <v>339.84845660228433</v>
      </c>
      <c r="AJ125" s="76">
        <f t="shared" si="71"/>
        <v>0.18154012004763848</v>
      </c>
      <c r="AK125" s="76">
        <f t="shared" si="72"/>
        <v>0.28296826901575345</v>
      </c>
      <c r="AL125" s="76">
        <f t="shared" si="73"/>
        <v>2.8088474456494614</v>
      </c>
      <c r="AM125" s="76">
        <f t="shared" si="74"/>
        <v>1.8538393141286447</v>
      </c>
      <c r="AN125" s="76">
        <f t="shared" si="52"/>
        <v>33.538450980075311</v>
      </c>
      <c r="AO125" s="76">
        <f t="shared" si="75"/>
        <v>0.2972717251180757</v>
      </c>
      <c r="AP125" s="78">
        <f t="shared" si="53"/>
        <v>9.9700331806350047</v>
      </c>
      <c r="AQ125" s="78">
        <f t="shared" si="76"/>
        <v>0.36478003799043229</v>
      </c>
      <c r="AR125" s="78">
        <f t="shared" si="77"/>
        <v>13.473017811668925</v>
      </c>
      <c r="AS125" s="78">
        <f t="shared" si="78"/>
        <v>29.640639185671635</v>
      </c>
      <c r="AT125" s="78">
        <f t="shared" si="54"/>
        <v>27.331630413659056</v>
      </c>
      <c r="AU125" s="78">
        <f t="shared" si="79"/>
        <v>60.12958691004993</v>
      </c>
      <c r="AV125" s="78">
        <f t="shared" si="80"/>
        <v>8.1994891240977168</v>
      </c>
      <c r="AW125" s="79">
        <f t="shared" si="55"/>
        <v>1643.1533242812263</v>
      </c>
      <c r="AX125" s="79">
        <f t="shared" si="56"/>
        <v>16431.533242812264</v>
      </c>
      <c r="AY125" s="30"/>
      <c r="AZ125" s="1"/>
    </row>
    <row r="126" spans="1:52" x14ac:dyDescent="0.25">
      <c r="A126" s="47" t="s">
        <v>281</v>
      </c>
      <c r="B126" s="47"/>
      <c r="C126" s="48">
        <v>10</v>
      </c>
      <c r="D126" s="48">
        <v>37.1</v>
      </c>
      <c r="E126" s="48">
        <v>76.8</v>
      </c>
      <c r="F126" s="48">
        <v>3.5</v>
      </c>
      <c r="G126" s="48">
        <v>7.4</v>
      </c>
      <c r="H126" s="80">
        <f>'Fiber_Ash Inputs'!V99</f>
        <v>35.6</v>
      </c>
      <c r="I126" s="80">
        <f>'Fiber_Ash Inputs'!W99</f>
        <v>64.2</v>
      </c>
      <c r="J126" s="80">
        <f>'Fiber_Ash Inputs'!X99</f>
        <v>7.9</v>
      </c>
      <c r="K126" s="80">
        <f>'Fiber_Ash Inputs'!U99</f>
        <v>3.8</v>
      </c>
      <c r="L126" s="76">
        <f t="shared" si="57"/>
        <v>24.35079535546226</v>
      </c>
      <c r="M126" s="76">
        <f t="shared" si="58"/>
        <v>94.616843393682686</v>
      </c>
      <c r="N126" s="76">
        <f t="shared" si="44"/>
        <v>22.191011235955056</v>
      </c>
      <c r="O126" s="76">
        <f t="shared" si="59"/>
        <v>22.191011235955056</v>
      </c>
      <c r="P126" s="76">
        <f>(100*((LN((100-O126)-I126)-4.6052)/-'Fiber_Ash Inputs'!$D$17))*'Fiber_Ash Inputs'!$C$17</f>
        <v>7.3869240261072449</v>
      </c>
      <c r="Q126" s="76">
        <f t="shared" si="60"/>
        <v>58.830414718402729</v>
      </c>
      <c r="R126" s="76">
        <f>IF('Fiber_Ash Inputs'!$B$11=30,I126,IF('Fiber_Ash Inputs'!$B$11=48,I126*0.926))</f>
        <v>64.2</v>
      </c>
      <c r="S126" s="76">
        <f t="shared" si="45"/>
        <v>5.6980000000000004</v>
      </c>
      <c r="T126" s="76">
        <f t="shared" si="46"/>
        <v>1.7094</v>
      </c>
      <c r="U126" s="46">
        <f t="shared" si="47"/>
        <v>2.5</v>
      </c>
      <c r="V126" s="77">
        <f t="shared" si="48"/>
        <v>13.6</v>
      </c>
      <c r="W126" s="76">
        <f t="shared" si="61"/>
        <v>4.5856445751997779</v>
      </c>
      <c r="X126" s="76">
        <f t="shared" si="62"/>
        <v>2.8283731001045389</v>
      </c>
      <c r="Y126" s="76">
        <f t="shared" si="63"/>
        <v>1.4298208821942155</v>
      </c>
      <c r="Z126" s="76">
        <f t="shared" si="49"/>
        <v>3.4495909692996376</v>
      </c>
      <c r="AA126" s="76">
        <f t="shared" si="50"/>
        <v>1.0348772907898913</v>
      </c>
      <c r="AB126" s="76">
        <f t="shared" si="64"/>
        <v>3.501901583764047</v>
      </c>
      <c r="AC126" s="76">
        <f t="shared" si="65"/>
        <v>2.1952587200950457</v>
      </c>
      <c r="AD126" s="76">
        <f t="shared" si="66"/>
        <v>15.518325182771083</v>
      </c>
      <c r="AE126" s="76">
        <f t="shared" si="67"/>
        <v>3.2646198347128537</v>
      </c>
      <c r="AF126" s="46">
        <f t="shared" si="68"/>
        <v>6.0000000000000005E-2</v>
      </c>
      <c r="AG126" s="76">
        <f t="shared" si="69"/>
        <v>0.42414112853447733</v>
      </c>
      <c r="AH126" s="76">
        <f t="shared" si="70"/>
        <v>0.82301469114619663</v>
      </c>
      <c r="AI126" s="50">
        <f t="shared" si="51"/>
        <v>339.84845660228433</v>
      </c>
      <c r="AJ126" s="76">
        <f t="shared" si="71"/>
        <v>0.18154012004763848</v>
      </c>
      <c r="AK126" s="76">
        <f t="shared" si="72"/>
        <v>0.28296826901575345</v>
      </c>
      <c r="AL126" s="76">
        <f t="shared" si="73"/>
        <v>2.8001114456494616</v>
      </c>
      <c r="AM126" s="76">
        <f t="shared" si="74"/>
        <v>1.8480735541286448</v>
      </c>
      <c r="AN126" s="76">
        <f t="shared" si="52"/>
        <v>33.380863358701461</v>
      </c>
      <c r="AO126" s="76">
        <f t="shared" si="75"/>
        <v>0.29551866779692454</v>
      </c>
      <c r="AP126" s="78">
        <f t="shared" si="53"/>
        <v>9.8646682696746275</v>
      </c>
      <c r="AQ126" s="78">
        <f t="shared" si="76"/>
        <v>0.36092498399746886</v>
      </c>
      <c r="AR126" s="78">
        <f t="shared" si="77"/>
        <v>13.330632796857605</v>
      </c>
      <c r="AS126" s="78">
        <f t="shared" si="78"/>
        <v>29.327392153086734</v>
      </c>
      <c r="AT126" s="78">
        <f t="shared" si="54"/>
        <v>27.331630413659056</v>
      </c>
      <c r="AU126" s="78">
        <f t="shared" si="79"/>
        <v>60.12958691004993</v>
      </c>
      <c r="AV126" s="78">
        <f t="shared" si="80"/>
        <v>8.1994891240977168</v>
      </c>
      <c r="AW126" s="79">
        <f t="shared" si="55"/>
        <v>1625.7882162048147</v>
      </c>
      <c r="AX126" s="79">
        <f t="shared" si="56"/>
        <v>16257.882162048147</v>
      </c>
      <c r="AY126" s="30"/>
      <c r="AZ126" s="1"/>
    </row>
    <row r="127" spans="1:52" x14ac:dyDescent="0.25">
      <c r="A127" s="20"/>
      <c r="B127" s="20"/>
      <c r="C127" s="2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1"/>
    </row>
    <row r="128" spans="1:52" x14ac:dyDescent="0.25">
      <c r="A128" s="20"/>
      <c r="B128" s="20"/>
      <c r="C128" s="2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1"/>
    </row>
    <row r="129" spans="1:52" x14ac:dyDescent="0.25">
      <c r="A129" s="20"/>
      <c r="B129" s="20"/>
      <c r="C129" s="2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1"/>
    </row>
  </sheetData>
  <sheetProtection algorithmName="SHA-512" hashValue="GjXVy7bPkRGGs5rUCMvEkIPI3FRqgmGk1gqYAUT3S6LMbXadDdHCjx9A9Y9DTrWRXiXW0RFT3/upYfsM+gA7Bw==" saltValue="iYmWNpIdAwxyOe86hPlwmA==" spinCount="100000" sheet="1" objects="1" scenarios="1"/>
  <mergeCells count="16">
    <mergeCell ref="A36:B36"/>
    <mergeCell ref="L36:V36"/>
    <mergeCell ref="AP5:AX5"/>
    <mergeCell ref="AP6:AX6"/>
    <mergeCell ref="AP7:AX7"/>
    <mergeCell ref="A8:V8"/>
    <mergeCell ref="Z8:AS8"/>
    <mergeCell ref="D9:M9"/>
    <mergeCell ref="S9:V9"/>
    <mergeCell ref="D21:M21"/>
    <mergeCell ref="A24:K24"/>
    <mergeCell ref="A2:B2"/>
    <mergeCell ref="C2:K3"/>
    <mergeCell ref="A3:B3"/>
    <mergeCell ref="A4:B7"/>
    <mergeCell ref="W35:AS35"/>
  </mergeCells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B1388-5A8F-475D-A4AF-BC611145620E}">
  <dimension ref="A1:H49"/>
  <sheetViews>
    <sheetView tabSelected="1" workbookViewId="0">
      <selection activeCell="A29" sqref="A29"/>
    </sheetView>
  </sheetViews>
  <sheetFormatPr defaultRowHeight="15" x14ac:dyDescent="0.25"/>
  <sheetData>
    <row r="1" spans="1:8" x14ac:dyDescent="0.25">
      <c r="A1" s="15"/>
      <c r="B1" s="15"/>
      <c r="C1" s="15"/>
      <c r="D1" s="15"/>
      <c r="E1" s="15"/>
      <c r="F1" s="15"/>
      <c r="G1" s="15"/>
      <c r="H1" s="15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ht="18" x14ac:dyDescent="0.25">
      <c r="A3" s="15"/>
      <c r="B3" s="15"/>
      <c r="C3" s="15"/>
      <c r="D3" s="16" t="s">
        <v>152</v>
      </c>
      <c r="E3" s="15"/>
      <c r="F3" s="15"/>
      <c r="G3" s="15"/>
      <c r="H3" s="15"/>
    </row>
    <row r="4" spans="1:8" x14ac:dyDescent="0.25">
      <c r="A4" s="15"/>
      <c r="B4" s="15"/>
      <c r="C4" s="15"/>
      <c r="D4" s="15"/>
      <c r="E4" s="15"/>
      <c r="F4" s="15"/>
      <c r="G4" s="15"/>
      <c r="H4" s="15"/>
    </row>
    <row r="5" spans="1:8" ht="15.75" x14ac:dyDescent="0.25">
      <c r="A5" s="17" t="s">
        <v>153</v>
      </c>
      <c r="B5" s="18"/>
      <c r="C5" s="18"/>
      <c r="D5" s="18"/>
      <c r="E5" s="18"/>
      <c r="F5" s="18"/>
      <c r="G5" s="18"/>
      <c r="H5" s="15"/>
    </row>
    <row r="6" spans="1:8" x14ac:dyDescent="0.25">
      <c r="A6" s="19" t="s">
        <v>301</v>
      </c>
      <c r="B6" s="18"/>
      <c r="C6" s="18"/>
      <c r="D6" s="18"/>
      <c r="E6" s="18"/>
      <c r="F6" s="18"/>
      <c r="G6" s="18"/>
      <c r="H6" s="15"/>
    </row>
    <row r="7" spans="1:8" x14ac:dyDescent="0.25">
      <c r="A7" s="19" t="s">
        <v>154</v>
      </c>
      <c r="B7" s="18"/>
      <c r="C7" s="18"/>
      <c r="D7" s="18"/>
      <c r="E7" s="18"/>
      <c r="F7" s="18"/>
      <c r="G7" s="18"/>
      <c r="H7" s="15"/>
    </row>
    <row r="8" spans="1:8" x14ac:dyDescent="0.25">
      <c r="A8" s="19" t="s">
        <v>158</v>
      </c>
      <c r="B8" s="18"/>
      <c r="C8" s="18"/>
      <c r="D8" s="18"/>
      <c r="E8" s="18"/>
      <c r="F8" s="18"/>
      <c r="G8" s="18"/>
      <c r="H8" s="15"/>
    </row>
    <row r="9" spans="1:8" x14ac:dyDescent="0.25">
      <c r="A9" s="15"/>
      <c r="B9" s="15"/>
      <c r="C9" s="15"/>
      <c r="D9" s="15"/>
      <c r="E9" s="15"/>
      <c r="F9" s="15"/>
      <c r="G9" s="15"/>
      <c r="H9" s="15"/>
    </row>
    <row r="10" spans="1:8" ht="15.75" x14ac:dyDescent="0.25">
      <c r="A10" s="17" t="s">
        <v>155</v>
      </c>
      <c r="B10" s="18"/>
      <c r="C10" s="18"/>
      <c r="D10" s="18"/>
      <c r="E10" s="18"/>
      <c r="F10" s="18"/>
      <c r="G10" s="18"/>
      <c r="H10" s="15"/>
    </row>
    <row r="11" spans="1:8" x14ac:dyDescent="0.25">
      <c r="A11" s="19" t="s">
        <v>156</v>
      </c>
      <c r="B11" s="18"/>
      <c r="C11" s="18"/>
      <c r="D11" s="18"/>
      <c r="E11" s="18"/>
      <c r="F11" s="18"/>
      <c r="G11" s="18"/>
      <c r="H11" s="15"/>
    </row>
    <row r="12" spans="1:8" x14ac:dyDescent="0.25">
      <c r="A12" s="19" t="s">
        <v>157</v>
      </c>
      <c r="B12" s="18"/>
      <c r="C12" s="18"/>
      <c r="D12" s="18"/>
      <c r="E12" s="18"/>
      <c r="F12" s="18"/>
      <c r="G12" s="18"/>
      <c r="H12" s="15"/>
    </row>
    <row r="13" spans="1:8" x14ac:dyDescent="0.25">
      <c r="A13" s="15"/>
      <c r="B13" s="15"/>
      <c r="C13" s="15"/>
      <c r="D13" s="15"/>
      <c r="E13" s="15"/>
      <c r="F13" s="15"/>
      <c r="G13" s="15"/>
      <c r="H13" s="15"/>
    </row>
    <row r="14" spans="1:8" ht="15.75" x14ac:dyDescent="0.25">
      <c r="A14" s="17" t="s">
        <v>159</v>
      </c>
      <c r="B14" s="18"/>
      <c r="C14" s="18"/>
      <c r="D14" s="18"/>
      <c r="E14" s="18"/>
      <c r="F14" s="18"/>
      <c r="G14" s="18"/>
      <c r="H14" s="15"/>
    </row>
    <row r="15" spans="1:8" x14ac:dyDescent="0.25">
      <c r="A15" s="19" t="s">
        <v>302</v>
      </c>
      <c r="B15" s="18"/>
      <c r="C15" s="18"/>
      <c r="D15" s="18"/>
      <c r="E15" s="18"/>
      <c r="F15" s="18"/>
      <c r="G15" s="18"/>
      <c r="H15" s="15"/>
    </row>
    <row r="16" spans="1:8" x14ac:dyDescent="0.25">
      <c r="A16" s="19" t="s">
        <v>160</v>
      </c>
      <c r="B16" s="18"/>
      <c r="C16" s="18"/>
      <c r="D16" s="18"/>
      <c r="E16" s="18"/>
      <c r="F16" s="18"/>
      <c r="G16" s="18"/>
      <c r="H16" s="15"/>
    </row>
    <row r="17" spans="1:8" x14ac:dyDescent="0.25">
      <c r="A17" s="15"/>
      <c r="B17" s="15"/>
      <c r="C17" s="15"/>
      <c r="D17" s="15"/>
      <c r="E17" s="15"/>
      <c r="F17" s="15"/>
      <c r="G17" s="15"/>
      <c r="H17" s="15"/>
    </row>
    <row r="18" spans="1:8" ht="15.75" x14ac:dyDescent="0.25">
      <c r="A18" s="17" t="s">
        <v>0</v>
      </c>
      <c r="B18" s="18"/>
      <c r="C18" s="18"/>
      <c r="D18" s="18"/>
      <c r="E18" s="18"/>
      <c r="F18" s="18"/>
      <c r="G18" s="18"/>
      <c r="H18" s="15"/>
    </row>
    <row r="19" spans="1:8" x14ac:dyDescent="0.25">
      <c r="A19" s="19" t="s">
        <v>161</v>
      </c>
      <c r="B19" s="18"/>
      <c r="C19" s="18"/>
      <c r="D19" s="18"/>
      <c r="E19" s="18"/>
      <c r="F19" s="18"/>
      <c r="G19" s="18"/>
      <c r="H19" s="15"/>
    </row>
    <row r="20" spans="1:8" x14ac:dyDescent="0.25">
      <c r="A20" s="19" t="s">
        <v>166</v>
      </c>
      <c r="B20" s="18"/>
      <c r="C20" s="18"/>
      <c r="D20" s="18"/>
      <c r="E20" s="18"/>
      <c r="F20" s="18"/>
      <c r="G20" s="18"/>
      <c r="H20" s="15"/>
    </row>
    <row r="21" spans="1:8" x14ac:dyDescent="0.25">
      <c r="A21" s="19" t="s">
        <v>188</v>
      </c>
      <c r="B21" s="18"/>
      <c r="C21" s="18"/>
      <c r="D21" s="18"/>
      <c r="E21" s="18"/>
      <c r="F21" s="18"/>
      <c r="G21" s="18"/>
      <c r="H21" s="15"/>
    </row>
    <row r="22" spans="1:8" x14ac:dyDescent="0.25">
      <c r="A22" s="19" t="s">
        <v>162</v>
      </c>
      <c r="B22" s="18"/>
      <c r="C22" s="18"/>
      <c r="D22" s="18"/>
      <c r="E22" s="18"/>
      <c r="F22" s="18"/>
      <c r="G22" s="18"/>
      <c r="H22" s="15"/>
    </row>
    <row r="23" spans="1:8" x14ac:dyDescent="0.25">
      <c r="A23" s="15"/>
      <c r="B23" s="15"/>
      <c r="C23" s="15"/>
      <c r="D23" s="15"/>
      <c r="E23" s="15"/>
      <c r="F23" s="15"/>
      <c r="G23" s="15"/>
      <c r="H23" s="15"/>
    </row>
    <row r="24" spans="1:8" ht="15.75" x14ac:dyDescent="0.25">
      <c r="A24" s="17" t="s">
        <v>163</v>
      </c>
      <c r="B24" s="18"/>
      <c r="C24" s="18"/>
      <c r="D24" s="18"/>
      <c r="E24" s="18"/>
      <c r="F24" s="18"/>
      <c r="G24" s="18"/>
      <c r="H24" s="15"/>
    </row>
    <row r="25" spans="1:8" x14ac:dyDescent="0.25">
      <c r="A25" s="19" t="s">
        <v>189</v>
      </c>
      <c r="B25" s="18"/>
      <c r="C25" s="18"/>
      <c r="D25" s="18"/>
      <c r="E25" s="18"/>
      <c r="F25" s="18"/>
      <c r="G25" s="18"/>
      <c r="H25" s="15"/>
    </row>
    <row r="26" spans="1:8" x14ac:dyDescent="0.25">
      <c r="A26" s="19" t="s">
        <v>164</v>
      </c>
      <c r="B26" s="18"/>
      <c r="C26" s="18"/>
      <c r="D26" s="18"/>
      <c r="E26" s="18"/>
      <c r="F26" s="18"/>
      <c r="G26" s="18"/>
      <c r="H26" s="15"/>
    </row>
    <row r="27" spans="1:8" x14ac:dyDescent="0.25">
      <c r="A27" s="19" t="s">
        <v>165</v>
      </c>
      <c r="B27" s="18"/>
      <c r="C27" s="18"/>
      <c r="D27" s="18"/>
      <c r="E27" s="18"/>
      <c r="F27" s="18"/>
      <c r="G27" s="18"/>
      <c r="H27" s="15"/>
    </row>
    <row r="28" spans="1:8" x14ac:dyDescent="0.25">
      <c r="A28" s="19" t="s">
        <v>303</v>
      </c>
      <c r="B28" s="18"/>
      <c r="C28" s="18"/>
      <c r="D28" s="18"/>
      <c r="E28" s="18"/>
      <c r="F28" s="18"/>
      <c r="G28" s="18"/>
      <c r="H28" s="15"/>
    </row>
    <row r="29" spans="1:8" x14ac:dyDescent="0.25">
      <c r="A29" s="19" t="s">
        <v>167</v>
      </c>
      <c r="B29" s="18"/>
      <c r="C29" s="18"/>
      <c r="D29" s="18"/>
      <c r="E29" s="18"/>
      <c r="F29" s="18"/>
      <c r="G29" s="18"/>
      <c r="H29" s="15"/>
    </row>
    <row r="30" spans="1:8" x14ac:dyDescent="0.25">
      <c r="A30" s="15"/>
      <c r="B30" s="15"/>
      <c r="C30" s="15"/>
      <c r="D30" s="15"/>
      <c r="E30" s="15"/>
      <c r="F30" s="15"/>
      <c r="G30" s="15"/>
      <c r="H30" s="15"/>
    </row>
    <row r="31" spans="1:8" ht="15.75" x14ac:dyDescent="0.25">
      <c r="A31" s="17" t="s">
        <v>168</v>
      </c>
      <c r="B31" s="18"/>
      <c r="C31" s="18"/>
      <c r="D31" s="18"/>
      <c r="E31" s="18"/>
      <c r="F31" s="18"/>
      <c r="G31" s="18"/>
      <c r="H31" s="15"/>
    </row>
    <row r="32" spans="1:8" x14ac:dyDescent="0.25">
      <c r="A32" s="19" t="s">
        <v>176</v>
      </c>
      <c r="B32" s="18"/>
      <c r="C32" s="18"/>
      <c r="D32" s="18"/>
      <c r="E32" s="18"/>
      <c r="F32" s="18"/>
      <c r="G32" s="18"/>
      <c r="H32" s="15"/>
    </row>
    <row r="33" spans="1:8" x14ac:dyDescent="0.25">
      <c r="A33" s="19" t="s">
        <v>177</v>
      </c>
      <c r="B33" s="18"/>
      <c r="C33" s="18"/>
      <c r="D33" s="18"/>
      <c r="E33" s="18"/>
      <c r="F33" s="18"/>
      <c r="G33" s="18"/>
      <c r="H33" s="15"/>
    </row>
    <row r="34" spans="1:8" x14ac:dyDescent="0.25">
      <c r="A34" s="19" t="s">
        <v>178</v>
      </c>
      <c r="B34" s="18"/>
      <c r="C34" s="18"/>
      <c r="D34" s="18"/>
      <c r="E34" s="18"/>
      <c r="F34" s="18"/>
      <c r="G34" s="18"/>
      <c r="H34" s="15"/>
    </row>
    <row r="35" spans="1:8" x14ac:dyDescent="0.25">
      <c r="A35" s="15"/>
      <c r="B35" s="15"/>
      <c r="C35" s="15"/>
      <c r="D35" s="15"/>
      <c r="E35" s="15"/>
      <c r="F35" s="15"/>
      <c r="G35" s="15"/>
      <c r="H35" s="15"/>
    </row>
    <row r="36" spans="1:8" ht="15.75" x14ac:dyDescent="0.25">
      <c r="A36" s="17" t="s">
        <v>169</v>
      </c>
      <c r="B36" s="18"/>
      <c r="C36" s="18"/>
      <c r="D36" s="18"/>
      <c r="E36" s="18"/>
      <c r="F36" s="18"/>
      <c r="G36" s="18"/>
      <c r="H36" s="15"/>
    </row>
    <row r="37" spans="1:8" x14ac:dyDescent="0.25">
      <c r="A37" s="19" t="s">
        <v>170</v>
      </c>
      <c r="B37" s="18"/>
      <c r="C37" s="18"/>
      <c r="D37" s="18"/>
      <c r="E37" s="18"/>
      <c r="F37" s="18"/>
      <c r="G37" s="18"/>
      <c r="H37" s="15"/>
    </row>
    <row r="38" spans="1:8" x14ac:dyDescent="0.25">
      <c r="A38" s="19" t="s">
        <v>171</v>
      </c>
      <c r="B38" s="18"/>
      <c r="C38" s="18"/>
      <c r="D38" s="18"/>
      <c r="E38" s="18"/>
      <c r="F38" s="18"/>
      <c r="G38" s="18"/>
      <c r="H38" s="15"/>
    </row>
    <row r="39" spans="1:8" x14ac:dyDescent="0.25">
      <c r="A39" s="19" t="s">
        <v>172</v>
      </c>
      <c r="B39" s="18"/>
      <c r="C39" s="18"/>
      <c r="D39" s="18"/>
      <c r="E39" s="18"/>
      <c r="F39" s="18"/>
      <c r="G39" s="18"/>
      <c r="H39" s="15"/>
    </row>
    <row r="40" spans="1:8" x14ac:dyDescent="0.25">
      <c r="A40" s="19" t="s">
        <v>174</v>
      </c>
      <c r="B40" s="18"/>
      <c r="C40" s="18"/>
      <c r="D40" s="18"/>
      <c r="E40" s="18"/>
      <c r="F40" s="18"/>
      <c r="G40" s="18"/>
      <c r="H40" s="15"/>
    </row>
    <row r="41" spans="1:8" x14ac:dyDescent="0.25">
      <c r="A41" s="19" t="s">
        <v>175</v>
      </c>
      <c r="B41" s="18"/>
      <c r="C41" s="18"/>
      <c r="D41" s="18"/>
      <c r="E41" s="18"/>
      <c r="F41" s="18"/>
      <c r="G41" s="18"/>
      <c r="H41" s="15"/>
    </row>
    <row r="42" spans="1:8" x14ac:dyDescent="0.25">
      <c r="A42" s="15"/>
      <c r="B42" s="15"/>
      <c r="C42" s="15"/>
      <c r="D42" s="15"/>
      <c r="E42" s="15"/>
      <c r="F42" s="15"/>
      <c r="G42" s="15"/>
      <c r="H42" s="15"/>
    </row>
    <row r="43" spans="1:8" ht="15.75" x14ac:dyDescent="0.25">
      <c r="A43" s="17" t="s">
        <v>173</v>
      </c>
      <c r="B43" s="18"/>
      <c r="C43" s="18"/>
      <c r="D43" s="18"/>
      <c r="E43" s="18"/>
      <c r="F43" s="18"/>
      <c r="G43" s="18"/>
      <c r="H43" s="15"/>
    </row>
    <row r="44" spans="1:8" x14ac:dyDescent="0.25">
      <c r="A44" s="19" t="s">
        <v>179</v>
      </c>
      <c r="B44" s="18"/>
      <c r="C44" s="18"/>
      <c r="D44" s="18"/>
      <c r="E44" s="18"/>
      <c r="F44" s="18"/>
      <c r="G44" s="18"/>
      <c r="H44" s="15"/>
    </row>
    <row r="45" spans="1:8" x14ac:dyDescent="0.25">
      <c r="A45" s="19" t="s">
        <v>181</v>
      </c>
      <c r="B45" s="18"/>
      <c r="C45" s="18"/>
      <c r="D45" s="18"/>
      <c r="E45" s="18"/>
      <c r="F45" s="18"/>
      <c r="G45" s="18"/>
      <c r="H45" s="15"/>
    </row>
    <row r="46" spans="1:8" x14ac:dyDescent="0.25">
      <c r="A46" s="19" t="s">
        <v>180</v>
      </c>
      <c r="B46" s="18"/>
      <c r="C46" s="18"/>
      <c r="D46" s="18"/>
      <c r="E46" s="18"/>
      <c r="F46" s="18"/>
      <c r="G46" s="18"/>
      <c r="H46" s="15"/>
    </row>
    <row r="47" spans="1:8" x14ac:dyDescent="0.25">
      <c r="A47" s="15"/>
      <c r="B47" s="15"/>
      <c r="C47" s="15"/>
      <c r="D47" s="15"/>
      <c r="E47" s="15"/>
      <c r="F47" s="15"/>
      <c r="G47" s="15"/>
      <c r="H47" s="15"/>
    </row>
    <row r="48" spans="1:8" x14ac:dyDescent="0.25">
      <c r="A48" s="15"/>
      <c r="B48" s="15"/>
      <c r="C48" s="15"/>
      <c r="D48" s="15"/>
      <c r="E48" s="15"/>
      <c r="F48" s="15"/>
      <c r="G48" s="15"/>
      <c r="H48" s="15"/>
    </row>
    <row r="49" spans="1:8" x14ac:dyDescent="0.25">
      <c r="A49" s="15"/>
      <c r="B49" s="15"/>
      <c r="C49" s="15"/>
      <c r="D49" s="15"/>
      <c r="E49" s="15"/>
      <c r="F49" s="15"/>
      <c r="G49" s="15"/>
      <c r="H49" s="15"/>
    </row>
  </sheetData>
  <sheetProtection algorithmName="SHA-512" hashValue="S5ydzFxtrGTKn9ddoSdS1QX3UttrIJFoIAXLoSZWRfSRKeJXzfKJmC6MT3jr3kSy4qQNreoqMVSdNhZFQVukCw==" saltValue="4/m5amFjD2ySad+x/R3MR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User Input Guide</vt:lpstr>
      <vt:lpstr>Fiber_Ash Inputs</vt:lpstr>
      <vt:lpstr>MILK2024_Imperial</vt:lpstr>
      <vt:lpstr>MILK2024_Metric</vt:lpstr>
      <vt:lpstr>Tech Reference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 Diepersloot</dc:creator>
  <cp:lastModifiedBy>Luiz Ferraretto</cp:lastModifiedBy>
  <dcterms:created xsi:type="dcterms:W3CDTF">2022-08-31T16:13:41Z</dcterms:created>
  <dcterms:modified xsi:type="dcterms:W3CDTF">2024-04-05T13:21:02Z</dcterms:modified>
</cp:coreProperties>
</file>